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mc:Choice Requires="x15">
      <x15ac:absPath xmlns:x15ac="http://schemas.microsoft.com/office/spreadsheetml/2010/11/ac" url="X:\RAPS\SM\Analiza Monetara\FABS\organizatoric\2025\publicare iulie\BS\pachetul pentru publicare\publicare site\"/>
    </mc:Choice>
  </mc:AlternateContent>
  <xr:revisionPtr revIDLastSave="0" documentId="13_ncr:1_{1E190BDE-D23B-4A94-AB4A-4CCB01686AA2}" xr6:coauthVersionLast="47" xr6:coauthVersionMax="47" xr10:uidLastSave="{00000000-0000-0000-0000-000000000000}"/>
  <bookViews>
    <workbookView xWindow="28680" yWindow="-120" windowWidth="38640" windowHeight="21240" xr2:uid="{2B1B9E5A-00DD-4B7B-9230-210657FE1903}"/>
  </bookViews>
  <sheets>
    <sheet name="Coperta" sheetId="4" r:id="rId1"/>
    <sheet name="nota explicativă" sheetId="11" r:id="rId2"/>
    <sheet name="matricele" sheetId="9" r:id="rId3"/>
    <sheet name="seriile dinamice active" sheetId="7" r:id="rId4"/>
    <sheet name="seriile dinamice pasive " sheetId="8" r:id="rId5"/>
    <sheet name="index list" sheetId="10" state="hidden" r:id="rId6"/>
  </sheets>
  <definedNames>
    <definedName name="_xlnm._FilterDatabase" localSheetId="2" hidden="1">matricele!$C$6:$N$8</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9" l="1"/>
  <c r="J71" i="9"/>
  <c r="I71" i="9"/>
  <c r="H71" i="9"/>
  <c r="F71" i="9"/>
  <c r="M70" i="9"/>
  <c r="K70" i="9"/>
  <c r="J70" i="9"/>
  <c r="I70" i="9"/>
  <c r="H70" i="9"/>
  <c r="F70" i="9"/>
  <c r="M69" i="9"/>
  <c r="L69" i="9"/>
  <c r="J69" i="9"/>
  <c r="I69" i="9"/>
  <c r="H69" i="9"/>
  <c r="F69" i="9"/>
  <c r="M68" i="9"/>
  <c r="L68" i="9"/>
  <c r="K68" i="9"/>
  <c r="I68" i="9"/>
  <c r="H68" i="9"/>
  <c r="F68" i="9"/>
  <c r="M67" i="9"/>
  <c r="L67" i="9"/>
  <c r="K67" i="9"/>
  <c r="J67" i="9"/>
  <c r="H67" i="9"/>
  <c r="F67" i="9"/>
  <c r="M66" i="9"/>
  <c r="L66" i="9"/>
  <c r="K66" i="9"/>
  <c r="J66" i="9"/>
  <c r="I66" i="9"/>
  <c r="H66" i="9"/>
  <c r="F66" i="9"/>
  <c r="M64" i="9"/>
  <c r="L64" i="9"/>
  <c r="K64" i="9"/>
  <c r="J64" i="9"/>
  <c r="I64" i="9"/>
  <c r="H64" i="9"/>
  <c r="K54" i="9"/>
  <c r="J54" i="9"/>
  <c r="I54" i="9"/>
  <c r="H54" i="9"/>
  <c r="F54" i="9"/>
  <c r="M53" i="9"/>
  <c r="K53" i="9"/>
  <c r="J53" i="9"/>
  <c r="I53" i="9"/>
  <c r="H53" i="9"/>
  <c r="F53" i="9"/>
  <c r="M52" i="9"/>
  <c r="L52" i="9"/>
  <c r="J52" i="9"/>
  <c r="I52" i="9"/>
  <c r="H52" i="9"/>
  <c r="F52" i="9"/>
  <c r="M51" i="9"/>
  <c r="L51" i="9"/>
  <c r="K51" i="9"/>
  <c r="I51" i="9"/>
  <c r="H51" i="9"/>
  <c r="F51" i="9"/>
  <c r="M50" i="9"/>
  <c r="L50" i="9"/>
  <c r="K50" i="9"/>
  <c r="J50" i="9"/>
  <c r="H50" i="9"/>
  <c r="F50" i="9"/>
  <c r="M49" i="9"/>
  <c r="L49" i="9"/>
  <c r="K49" i="9"/>
  <c r="J49" i="9"/>
  <c r="I49" i="9"/>
  <c r="H49" i="9"/>
  <c r="F49" i="9"/>
  <c r="M47" i="9"/>
  <c r="L47" i="9"/>
  <c r="K47" i="9"/>
  <c r="J47" i="9"/>
  <c r="I47" i="9"/>
  <c r="H47" i="9"/>
  <c r="H37" i="9"/>
  <c r="M36" i="9"/>
  <c r="K36" i="9"/>
  <c r="J36" i="9"/>
  <c r="I36" i="9"/>
  <c r="H36" i="9"/>
  <c r="F36" i="9"/>
  <c r="M35" i="9"/>
  <c r="L35" i="9"/>
  <c r="J35" i="9"/>
  <c r="I35" i="9"/>
  <c r="H35" i="9"/>
  <c r="F35" i="9"/>
  <c r="M34" i="9"/>
  <c r="L34" i="9"/>
  <c r="K34" i="9"/>
  <c r="I34" i="9"/>
  <c r="H34" i="9"/>
  <c r="F34" i="9"/>
  <c r="M33" i="9"/>
  <c r="L33" i="9"/>
  <c r="K33" i="9"/>
  <c r="J33" i="9"/>
  <c r="H33" i="9"/>
  <c r="F33" i="9"/>
  <c r="M32" i="9"/>
  <c r="L32" i="9"/>
  <c r="K32" i="9"/>
  <c r="J32" i="9"/>
  <c r="I32" i="9"/>
  <c r="H32" i="9"/>
  <c r="F32" i="9"/>
  <c r="M30" i="9"/>
  <c r="L30" i="9"/>
  <c r="K30" i="9"/>
  <c r="J30" i="9"/>
  <c r="I30" i="9"/>
  <c r="H30" i="9"/>
  <c r="L20" i="9"/>
  <c r="K20" i="9"/>
  <c r="J20" i="9"/>
  <c r="I20" i="9"/>
  <c r="H20" i="9"/>
  <c r="F20" i="9"/>
  <c r="M19" i="9"/>
  <c r="K19" i="9"/>
  <c r="J19" i="9"/>
  <c r="I19" i="9"/>
  <c r="H19" i="9"/>
  <c r="F19" i="9"/>
  <c r="M18" i="9"/>
  <c r="L18" i="9"/>
  <c r="J18" i="9"/>
  <c r="I18" i="9"/>
  <c r="H18" i="9"/>
  <c r="F18" i="9"/>
  <c r="M17" i="9"/>
  <c r="L17" i="9"/>
  <c r="K17" i="9"/>
  <c r="I17" i="9"/>
  <c r="H17" i="9"/>
  <c r="F17" i="9"/>
  <c r="M16" i="9"/>
  <c r="L16" i="9"/>
  <c r="K16" i="9"/>
  <c r="J16" i="9"/>
  <c r="H16" i="9"/>
  <c r="F16" i="9"/>
  <c r="M15" i="9"/>
  <c r="L15" i="9"/>
  <c r="K15" i="9"/>
  <c r="J15" i="9"/>
  <c r="I15" i="9"/>
  <c r="H15" i="9"/>
  <c r="F15" i="9"/>
  <c r="M13" i="9"/>
  <c r="L13" i="9"/>
  <c r="K13" i="9"/>
  <c r="J13" i="9"/>
  <c r="I13" i="9"/>
  <c r="H13" i="9"/>
  <c r="M65" i="8" l="1"/>
  <c r="H43" i="8" l="1"/>
  <c r="Q54" i="7"/>
  <c r="O54" i="7"/>
  <c r="Q43" i="8"/>
  <c r="Q41" i="8" s="1"/>
  <c r="L65" i="8"/>
  <c r="L63" i="8" s="1"/>
  <c r="K65" i="8"/>
  <c r="K63" i="8" s="1"/>
  <c r="J43" i="8"/>
  <c r="J41" i="8" s="1"/>
  <c r="I76" i="8"/>
  <c r="I74" i="8" s="1"/>
  <c r="H65" i="8"/>
  <c r="H63" i="8" s="1"/>
  <c r="G65" i="8"/>
  <c r="G63" i="8" s="1"/>
  <c r="Q76" i="7"/>
  <c r="Q74" i="7" s="1"/>
  <c r="P76" i="7"/>
  <c r="P74" i="7" s="1"/>
  <c r="O76" i="7"/>
  <c r="O74" i="7" s="1"/>
  <c r="N76" i="7"/>
  <c r="M76" i="7"/>
  <c r="M74" i="7" s="1"/>
  <c r="L76" i="7"/>
  <c r="L74" i="7" s="1"/>
  <c r="K76" i="7"/>
  <c r="K74" i="7" s="1"/>
  <c r="I76" i="7"/>
  <c r="H76" i="7"/>
  <c r="H74" i="7" s="1"/>
  <c r="G76" i="7"/>
  <c r="G74" i="7" s="1"/>
  <c r="F76" i="7"/>
  <c r="F74" i="7" s="1"/>
  <c r="P54" i="7"/>
  <c r="P52" i="7" s="1"/>
  <c r="O87" i="7"/>
  <c r="O85" i="7" s="1"/>
  <c r="L54" i="7"/>
  <c r="L52" i="7" s="1"/>
  <c r="K54" i="7"/>
  <c r="K52" i="7" s="1"/>
  <c r="P65" i="7"/>
  <c r="P63" i="7" s="1"/>
  <c r="M87" i="7"/>
  <c r="K87" i="7"/>
  <c r="K85" i="7" s="1"/>
  <c r="Q65" i="7"/>
  <c r="Q63" i="7" s="1"/>
  <c r="Q87" i="7"/>
  <c r="Q85" i="7" s="1"/>
  <c r="P87" i="7"/>
  <c r="P85" i="7" s="1"/>
  <c r="O65" i="7"/>
  <c r="O63" i="7" s="1"/>
  <c r="M65" i="7"/>
  <c r="M63" i="7" s="1"/>
  <c r="L65" i="7"/>
  <c r="L63" i="7" s="1"/>
  <c r="K65" i="7"/>
  <c r="K63" i="7" s="1"/>
  <c r="P65" i="8"/>
  <c r="P63" i="8" s="1"/>
  <c r="M54" i="7"/>
  <c r="M52" i="7" s="1"/>
  <c r="Q54" i="8"/>
  <c r="Q52" i="8" s="1"/>
  <c r="P43" i="8"/>
  <c r="P41" i="8" s="1"/>
  <c r="O43" i="8"/>
  <c r="O41" i="8" s="1"/>
  <c r="I54" i="7"/>
  <c r="I52" i="7" s="1"/>
  <c r="F54" i="7"/>
  <c r="F52" i="7" s="1"/>
  <c r="Q65" i="8"/>
  <c r="Q63" i="8" s="1"/>
  <c r="M76" i="8"/>
  <c r="M74" i="8" s="1"/>
  <c r="L43" i="8"/>
  <c r="L41" i="8" s="1"/>
  <c r="K43" i="8"/>
  <c r="K41" i="8" s="1"/>
  <c r="K76" i="8"/>
  <c r="K74" i="8" s="1"/>
  <c r="O65" i="8"/>
  <c r="O63" i="8" s="1"/>
  <c r="N54" i="8"/>
  <c r="N52" i="8" s="1"/>
  <c r="G65" i="7"/>
  <c r="G63" i="7" s="1"/>
  <c r="H41" i="8"/>
  <c r="N65" i="7"/>
  <c r="N63" i="7" s="1"/>
  <c r="N74" i="7"/>
  <c r="N87" i="7"/>
  <c r="N85" i="7" s="1"/>
  <c r="J54" i="7"/>
  <c r="J52" i="7" s="1"/>
  <c r="I65" i="7"/>
  <c r="I63" i="7" s="1"/>
  <c r="I74" i="7"/>
  <c r="I87" i="7"/>
  <c r="I85" i="7" s="1"/>
  <c r="H65" i="7"/>
  <c r="H63" i="7" s="1"/>
  <c r="H87" i="7"/>
  <c r="H85" i="7" s="1"/>
  <c r="G87" i="7"/>
  <c r="G85" i="7" s="1"/>
  <c r="F65" i="7"/>
  <c r="F63" i="7" s="1"/>
  <c r="R54" i="7"/>
  <c r="R52" i="7" s="1"/>
  <c r="R87" i="7"/>
  <c r="R85" i="7" s="1"/>
  <c r="N54" i="7"/>
  <c r="N52" i="7" s="1"/>
  <c r="J87" i="7"/>
  <c r="J85" i="7" s="1"/>
  <c r="G54" i="7"/>
  <c r="G52" i="7" s="1"/>
  <c r="R43" i="8"/>
  <c r="R41" i="8" s="1"/>
  <c r="R54" i="8"/>
  <c r="R52" i="8" s="1"/>
  <c r="F76" i="8"/>
  <c r="F74" i="8" s="1"/>
  <c r="H54" i="7"/>
  <c r="H52" i="7" s="1"/>
  <c r="I65" i="8"/>
  <c r="I63" i="8" s="1"/>
  <c r="R76" i="7"/>
  <c r="R74" i="7" s="1"/>
  <c r="I54" i="8"/>
  <c r="I52" i="8" s="1"/>
  <c r="H54" i="8"/>
  <c r="H52" i="8" s="1"/>
  <c r="H76" i="8"/>
  <c r="H74" i="8" s="1"/>
  <c r="G43" i="8"/>
  <c r="G41" i="8" s="1"/>
  <c r="G54" i="8"/>
  <c r="G52" i="8" s="1"/>
  <c r="F43" i="8"/>
  <c r="F41" i="8" s="1"/>
  <c r="F54" i="8"/>
  <c r="F52" i="8" s="1"/>
  <c r="J54" i="8"/>
  <c r="J52" i="8" s="1"/>
  <c r="R65" i="8"/>
  <c r="R63" i="8" s="1"/>
  <c r="F65" i="8"/>
  <c r="F63" i="8" s="1"/>
  <c r="R65" i="7"/>
  <c r="R63" i="7" s="1"/>
  <c r="L87" i="7"/>
  <c r="L85" i="7" s="1"/>
  <c r="F87" i="7"/>
  <c r="F85" i="7" s="1"/>
  <c r="R76" i="8"/>
  <c r="R74" i="8" s="1"/>
  <c r="Q76" i="8"/>
  <c r="Q74" i="8" s="1"/>
  <c r="P54" i="8"/>
  <c r="P52" i="8" s="1"/>
  <c r="P76" i="8"/>
  <c r="P74" i="8" s="1"/>
  <c r="O54" i="8"/>
  <c r="O52" i="8" s="1"/>
  <c r="O76" i="8"/>
  <c r="O74" i="8" s="1"/>
  <c r="M63" i="8"/>
  <c r="M54" i="8"/>
  <c r="M52" i="8" s="1"/>
  <c r="L54" i="8"/>
  <c r="L52" i="8" s="1"/>
  <c r="L76" i="8"/>
  <c r="L74" i="8" s="1"/>
  <c r="K54" i="8"/>
  <c r="K52" i="8" s="1"/>
  <c r="G76" i="8"/>
  <c r="G74" i="8" s="1"/>
  <c r="Q52" i="7"/>
  <c r="J65" i="7"/>
  <c r="J63" i="7" s="1"/>
  <c r="J76" i="7"/>
  <c r="J74" i="7" s="1"/>
  <c r="N43" i="8"/>
  <c r="N41" i="8" s="1"/>
  <c r="I43" i="8"/>
  <c r="I41" i="8" s="1"/>
  <c r="M85" i="7"/>
  <c r="N65" i="8"/>
  <c r="N63" i="8" s="1"/>
  <c r="N76" i="8"/>
  <c r="N74" i="8" s="1"/>
  <c r="M43" i="8"/>
  <c r="M41" i="8" s="1"/>
  <c r="J65" i="8"/>
  <c r="J63" i="8" s="1"/>
  <c r="J76" i="8"/>
  <c r="J74" i="8" s="1"/>
  <c r="O52" i="7"/>
  <c r="G166" i="7" l="1"/>
  <c r="F200" i="7"/>
  <c r="G20" i="8"/>
  <c r="G18" i="8" s="1"/>
  <c r="H133" i="8"/>
  <c r="H131" i="8" s="1"/>
  <c r="G155" i="8"/>
  <c r="G153" i="8" s="1"/>
  <c r="J178" i="8"/>
  <c r="I211" i="7"/>
  <c r="I209" i="7" s="1"/>
  <c r="F189" i="7"/>
  <c r="F187" i="7" s="1"/>
  <c r="J144" i="8"/>
  <c r="J142" i="8" s="1"/>
  <c r="I189" i="8"/>
  <c r="I187" i="8" s="1"/>
  <c r="F31" i="8"/>
  <c r="F29" i="8" s="1"/>
  <c r="H132" i="7"/>
  <c r="H130" i="7" s="1"/>
  <c r="J99" i="8"/>
  <c r="H99" i="7"/>
  <c r="H97" i="7" s="1"/>
  <c r="J121" i="8"/>
  <c r="J119" i="8" s="1"/>
  <c r="J9" i="8"/>
  <c r="J7" i="8" s="1"/>
  <c r="I121" i="8"/>
  <c r="I119" i="8" s="1"/>
  <c r="H110" i="8"/>
  <c r="H108" i="8" s="1"/>
  <c r="F178" i="8"/>
  <c r="F176" i="8" s="1"/>
  <c r="I99" i="7"/>
  <c r="I97" i="7" s="1"/>
  <c r="J97" i="8"/>
  <c r="F167" i="8"/>
  <c r="F165" i="8" s="1"/>
  <c r="J99" i="7"/>
  <c r="J97" i="7" s="1"/>
  <c r="J211" i="7"/>
  <c r="J209" i="7" s="1"/>
  <c r="J167" i="8"/>
  <c r="J165" i="8" s="1"/>
  <c r="J189" i="8"/>
  <c r="J187" i="8" s="1"/>
  <c r="J212" i="8"/>
  <c r="J210" i="8" s="1"/>
  <c r="I99" i="8"/>
  <c r="I97" i="8" s="1"/>
  <c r="H9" i="8"/>
  <c r="H7" i="8" s="1"/>
  <c r="H144" i="8"/>
  <c r="H142" i="8" s="1"/>
  <c r="H167" i="8"/>
  <c r="H165" i="8" s="1"/>
  <c r="H189" i="8"/>
  <c r="H187" i="8" s="1"/>
  <c r="H212" i="8"/>
  <c r="H210" i="8" s="1"/>
  <c r="F9" i="8"/>
  <c r="F7" i="8" s="1"/>
  <c r="F121" i="8"/>
  <c r="F119" i="8" s="1"/>
  <c r="J9" i="7"/>
  <c r="J7" i="7" s="1"/>
  <c r="I144" i="7"/>
  <c r="I166" i="7"/>
  <c r="I164" i="7" s="1"/>
  <c r="I189" i="7"/>
  <c r="I187" i="7" s="1"/>
  <c r="I234" i="7"/>
  <c r="I232" i="7" s="1"/>
  <c r="I256" i="7"/>
  <c r="I279" i="7"/>
  <c r="I277" i="7" s="1"/>
  <c r="H9" i="7"/>
  <c r="H7" i="7" s="1"/>
  <c r="H144" i="7"/>
  <c r="H142" i="7" s="1"/>
  <c r="H166" i="7"/>
  <c r="H164" i="7" s="1"/>
  <c r="H189" i="7"/>
  <c r="H187" i="7" s="1"/>
  <c r="H211" i="7"/>
  <c r="H209" i="7" s="1"/>
  <c r="H234" i="7"/>
  <c r="H232" i="7" s="1"/>
  <c r="H256" i="7"/>
  <c r="H279" i="7"/>
  <c r="H277" i="7" s="1"/>
  <c r="H301" i="7"/>
  <c r="H299" i="7" s="1"/>
  <c r="H312" i="7"/>
  <c r="H310" i="7" s="1"/>
  <c r="G31" i="7"/>
  <c r="G144" i="7"/>
  <c r="G142" i="7" s="1"/>
  <c r="G189" i="7"/>
  <c r="G187" i="7" s="1"/>
  <c r="G211" i="7"/>
  <c r="G209" i="7" s="1"/>
  <c r="G301" i="7"/>
  <c r="G299" i="7" s="1"/>
  <c r="F99" i="7"/>
  <c r="F97" i="7" s="1"/>
  <c r="F144" i="7"/>
  <c r="F142" i="7" s="1"/>
  <c r="F166" i="7"/>
  <c r="F164" i="7" s="1"/>
  <c r="F211" i="7"/>
  <c r="F234" i="7"/>
  <c r="F232" i="7" s="1"/>
  <c r="F256" i="7"/>
  <c r="F254" i="7" s="1"/>
  <c r="F279" i="7"/>
  <c r="F277" i="7" s="1"/>
  <c r="F301" i="7"/>
  <c r="J155" i="8"/>
  <c r="J153" i="8" s="1"/>
  <c r="J224" i="8"/>
  <c r="J222" i="8" s="1"/>
  <c r="I301" i="7"/>
  <c r="I299" i="7" s="1"/>
  <c r="G110" i="8"/>
  <c r="G108" i="8" s="1"/>
  <c r="G144" i="8"/>
  <c r="G142" i="8" s="1"/>
  <c r="G167" i="8"/>
  <c r="G165" i="8" s="1"/>
  <c r="G212" i="8"/>
  <c r="G210" i="8" s="1"/>
  <c r="F144" i="8"/>
  <c r="F142" i="8" s="1"/>
  <c r="J20" i="7"/>
  <c r="J18" i="7" s="1"/>
  <c r="G121" i="7"/>
  <c r="G119" i="7" s="1"/>
  <c r="G245" i="7"/>
  <c r="G243" i="7" s="1"/>
  <c r="G290" i="7"/>
  <c r="G288" i="7" s="1"/>
  <c r="J88" i="8"/>
  <c r="J86" i="8" s="1"/>
  <c r="I20" i="8"/>
  <c r="I18" i="8" s="1"/>
  <c r="I133" i="8"/>
  <c r="I131" i="8" s="1"/>
  <c r="I178" i="8"/>
  <c r="I176" i="8" s="1"/>
  <c r="F212" i="8"/>
  <c r="F210" i="8" s="1"/>
  <c r="F224" i="8"/>
  <c r="F222" i="8" s="1"/>
  <c r="J166" i="7"/>
  <c r="J164" i="7" s="1"/>
  <c r="J121" i="7"/>
  <c r="J119" i="7" s="1"/>
  <c r="J155" i="7"/>
  <c r="J153" i="7" s="1"/>
  <c r="J177" i="7"/>
  <c r="J175" i="7" s="1"/>
  <c r="J200" i="7"/>
  <c r="J198" i="7" s="1"/>
  <c r="J222" i="7"/>
  <c r="J220" i="7" s="1"/>
  <c r="J245" i="7"/>
  <c r="J243" i="7" s="1"/>
  <c r="J290" i="7"/>
  <c r="J288" i="7" s="1"/>
  <c r="I9" i="7"/>
  <c r="I7" i="7" s="1"/>
  <c r="I20" i="7"/>
  <c r="I18" i="7" s="1"/>
  <c r="I110" i="7"/>
  <c r="I108" i="7" s="1"/>
  <c r="I121" i="7"/>
  <c r="I119" i="7" s="1"/>
  <c r="I155" i="7"/>
  <c r="I153" i="7" s="1"/>
  <c r="I177" i="7"/>
  <c r="I175" i="7" s="1"/>
  <c r="I200" i="7"/>
  <c r="I198" i="7" s="1"/>
  <c r="I222" i="7"/>
  <c r="I220" i="7" s="1"/>
  <c r="I245" i="7"/>
  <c r="I243" i="7" s="1"/>
  <c r="I290" i="7"/>
  <c r="I288" i="7" s="1"/>
  <c r="H155" i="7"/>
  <c r="H153" i="7" s="1"/>
  <c r="H177" i="7"/>
  <c r="H175" i="7" s="1"/>
  <c r="H200" i="7"/>
  <c r="H198" i="7" s="1"/>
  <c r="G9" i="7"/>
  <c r="G7" i="7" s="1"/>
  <c r="G110" i="7"/>
  <c r="G108" i="7" s="1"/>
  <c r="F20" i="7"/>
  <c r="F18" i="7" s="1"/>
  <c r="F42" i="7"/>
  <c r="F40" i="7" s="1"/>
  <c r="F121" i="7"/>
  <c r="F119" i="7" s="1"/>
  <c r="F132" i="7"/>
  <c r="F130" i="7" s="1"/>
  <c r="F155" i="7"/>
  <c r="F153" i="7" s="1"/>
  <c r="F177" i="7"/>
  <c r="F175" i="7" s="1"/>
  <c r="F222" i="7"/>
  <c r="F220" i="7" s="1"/>
  <c r="J20" i="8"/>
  <c r="J18" i="8" s="1"/>
  <c r="J31" i="8"/>
  <c r="J29" i="8" s="1"/>
  <c r="I9" i="8"/>
  <c r="I7" i="8" s="1"/>
  <c r="I110" i="8"/>
  <c r="I108" i="8" s="1"/>
  <c r="I144" i="8"/>
  <c r="I142" i="8" s="1"/>
  <c r="I167" i="8"/>
  <c r="I165" i="8" s="1"/>
  <c r="I212" i="8"/>
  <c r="I210" i="8" s="1"/>
  <c r="G88" i="8"/>
  <c r="G86" i="8" s="1"/>
  <c r="G133" i="8"/>
  <c r="G131" i="8" s="1"/>
  <c r="F189" i="8"/>
  <c r="F187" i="8" s="1"/>
  <c r="F88" i="8"/>
  <c r="F86" i="8" s="1"/>
  <c r="F198" i="7"/>
  <c r="F133" i="8"/>
  <c r="F131" i="8" s="1"/>
  <c r="F155" i="8"/>
  <c r="F153" i="8" s="1"/>
  <c r="F201" i="8"/>
  <c r="F199" i="8" s="1"/>
  <c r="F9" i="7"/>
  <c r="F7" i="7" s="1"/>
  <c r="F31" i="7"/>
  <c r="F29" i="7" s="1"/>
  <c r="F110" i="7"/>
  <c r="F108" i="7" s="1"/>
  <c r="F245" i="7"/>
  <c r="F243" i="7" s="1"/>
  <c r="F267" i="7"/>
  <c r="F265" i="7" s="1"/>
  <c r="F290" i="7"/>
  <c r="F288" i="7" s="1"/>
  <c r="F312" i="7"/>
  <c r="F310" i="7" s="1"/>
  <c r="F20" i="8"/>
  <c r="F18" i="8" s="1"/>
  <c r="F99" i="8"/>
  <c r="F97" i="8" s="1"/>
  <c r="F110" i="8"/>
  <c r="F108" i="8" s="1"/>
  <c r="G256" i="7"/>
  <c r="G254" i="7" s="1"/>
  <c r="G189" i="8"/>
  <c r="G187" i="8" s="1"/>
  <c r="G42" i="7"/>
  <c r="G40" i="7" s="1"/>
  <c r="G132" i="7"/>
  <c r="G130" i="7" s="1"/>
  <c r="G155" i="7"/>
  <c r="G153" i="7" s="1"/>
  <c r="G177" i="7"/>
  <c r="G175" i="7" s="1"/>
  <c r="G200" i="7"/>
  <c r="G198" i="7" s="1"/>
  <c r="G222" i="7"/>
  <c r="G220" i="7" s="1"/>
  <c r="G267" i="7"/>
  <c r="G265" i="7" s="1"/>
  <c r="G312" i="7"/>
  <c r="G310" i="7" s="1"/>
  <c r="G29" i="7"/>
  <c r="G99" i="7"/>
  <c r="G97" i="7" s="1"/>
  <c r="G234" i="7"/>
  <c r="G232" i="7" s="1"/>
  <c r="G279" i="7"/>
  <c r="G277" i="7" s="1"/>
  <c r="G9" i="8"/>
  <c r="G7" i="8" s="1"/>
  <c r="G31" i="8"/>
  <c r="G29" i="8" s="1"/>
  <c r="G99" i="8"/>
  <c r="G97" i="8" s="1"/>
  <c r="G121" i="8"/>
  <c r="G119" i="8" s="1"/>
  <c r="G178" i="8"/>
  <c r="G176" i="8" s="1"/>
  <c r="G201" i="8"/>
  <c r="G199" i="8" s="1"/>
  <c r="G224" i="8"/>
  <c r="G222" i="8" s="1"/>
  <c r="G164" i="7"/>
  <c r="G20" i="7"/>
  <c r="G18" i="7" s="1"/>
  <c r="H224" i="8"/>
  <c r="H222" i="8" s="1"/>
  <c r="I155" i="8"/>
  <c r="I153" i="8" s="1"/>
  <c r="I31" i="7"/>
  <c r="I29" i="7" s="1"/>
  <c r="I267" i="7"/>
  <c r="I265" i="7" s="1"/>
  <c r="H20" i="7"/>
  <c r="H18" i="7" s="1"/>
  <c r="H31" i="7"/>
  <c r="H29" i="7" s="1"/>
  <c r="H42" i="7"/>
  <c r="H40" i="7" s="1"/>
  <c r="H110" i="7"/>
  <c r="H108" i="7" s="1"/>
  <c r="H121" i="7"/>
  <c r="H119" i="7" s="1"/>
  <c r="H222" i="7"/>
  <c r="H220" i="7" s="1"/>
  <c r="H245" i="7"/>
  <c r="H243" i="7" s="1"/>
  <c r="H267" i="7"/>
  <c r="H265" i="7" s="1"/>
  <c r="H290" i="7"/>
  <c r="H288" i="7" s="1"/>
  <c r="H20" i="8"/>
  <c r="H18" i="8" s="1"/>
  <c r="H31" i="8"/>
  <c r="H29" i="8" s="1"/>
  <c r="H88" i="8"/>
  <c r="H86" i="8" s="1"/>
  <c r="H99" i="8"/>
  <c r="H97" i="8" s="1"/>
  <c r="H121" i="8"/>
  <c r="H119" i="8" s="1"/>
  <c r="H155" i="8"/>
  <c r="H153" i="8" s="1"/>
  <c r="H178" i="8"/>
  <c r="H176" i="8" s="1"/>
  <c r="H201" i="8"/>
  <c r="H199" i="8" s="1"/>
  <c r="I42" i="7"/>
  <c r="I40" i="7" s="1"/>
  <c r="I132" i="7"/>
  <c r="I130" i="7" s="1"/>
  <c r="I312" i="7"/>
  <c r="I310" i="7" s="1"/>
  <c r="I201" i="8"/>
  <c r="I199" i="8" s="1"/>
  <c r="J279" i="7"/>
  <c r="J277" i="7" s="1"/>
  <c r="J312" i="7"/>
  <c r="J310" i="7" s="1"/>
  <c r="I31" i="8"/>
  <c r="I29" i="8" s="1"/>
  <c r="I88" i="8"/>
  <c r="I86" i="8" s="1"/>
  <c r="I224" i="8"/>
  <c r="I222" i="8" s="1"/>
  <c r="J42" i="7"/>
  <c r="J40" i="7" s="1"/>
  <c r="J132" i="7"/>
  <c r="J130" i="7" s="1"/>
  <c r="J256" i="7"/>
  <c r="J254" i="7" s="1"/>
  <c r="J301" i="7"/>
  <c r="J299" i="7" s="1"/>
  <c r="J31" i="7"/>
  <c r="J29" i="7" s="1"/>
  <c r="J110" i="8"/>
  <c r="J108" i="8" s="1"/>
  <c r="I254" i="7"/>
  <c r="J133" i="8"/>
  <c r="J131" i="8" s="1"/>
  <c r="J201" i="8"/>
  <c r="J199" i="8" s="1"/>
  <c r="J176" i="8"/>
  <c r="F209" i="7"/>
  <c r="F299" i="7"/>
  <c r="H254" i="7"/>
  <c r="I142" i="7"/>
  <c r="J189" i="7"/>
  <c r="J187" i="7" s="1"/>
  <c r="J110" i="7"/>
  <c r="J108" i="7" s="1"/>
  <c r="J144" i="7"/>
  <c r="J142" i="7" s="1"/>
  <c r="J234" i="7"/>
  <c r="J232" i="7" s="1"/>
  <c r="J267" i="7"/>
  <c r="J265" i="7" s="1"/>
  <c r="AC301" i="7" l="1"/>
  <c r="AC299" i="7" s="1"/>
  <c r="AC290" i="7"/>
  <c r="AC288" i="7" s="1"/>
  <c r="AC222" i="7"/>
  <c r="AC220" i="7" s="1"/>
  <c r="AC200" i="7"/>
  <c r="AC198" i="7" s="1"/>
  <c r="AC31" i="7"/>
  <c r="AC29" i="7" s="1"/>
  <c r="AC166" i="7"/>
  <c r="AC164" i="7" s="1"/>
  <c r="AC9" i="8"/>
  <c r="AC7" i="8" s="1"/>
  <c r="AC31" i="8"/>
  <c r="AC29" i="8" s="1"/>
  <c r="AC76" i="8"/>
  <c r="AC74" i="8" s="1"/>
  <c r="AC121" i="8"/>
  <c r="AC119" i="8" s="1"/>
  <c r="AC279" i="7"/>
  <c r="AC277" i="7" s="1"/>
  <c r="AC211" i="7"/>
  <c r="AC209" i="7" s="1"/>
  <c r="AC189" i="7"/>
  <c r="AC187" i="7" s="1"/>
  <c r="AC245" i="7"/>
  <c r="AC243" i="7" s="1"/>
  <c r="AC155" i="7"/>
  <c r="AC153" i="7" s="1"/>
  <c r="AC312" i="7"/>
  <c r="AC310" i="7" s="1"/>
  <c r="AC234" i="7"/>
  <c r="AC232" i="7" s="1"/>
  <c r="AC177" i="7"/>
  <c r="AC175" i="7" s="1"/>
  <c r="AC144" i="7"/>
  <c r="AC142" i="7" s="1"/>
  <c r="AC99" i="7"/>
  <c r="AC97" i="7" s="1"/>
  <c r="AC54" i="7"/>
  <c r="AC52" i="7" s="1"/>
  <c r="AC20" i="7"/>
  <c r="AC18" i="7" s="1"/>
  <c r="AC267" i="7"/>
  <c r="AC265" i="7" s="1"/>
  <c r="AC256" i="7"/>
  <c r="AC254" i="7" s="1"/>
  <c r="AC132" i="7"/>
  <c r="AC130" i="7" s="1"/>
  <c r="AC110" i="7"/>
  <c r="AC108" i="7" s="1"/>
  <c r="AC65" i="7"/>
  <c r="AC63" i="7" s="1"/>
  <c r="AC121" i="7"/>
  <c r="AC119" i="7" s="1"/>
  <c r="AC87" i="7"/>
  <c r="AC85" i="7" s="1"/>
  <c r="AC76" i="7"/>
  <c r="AC74" i="7" s="1"/>
  <c r="AC42" i="7"/>
  <c r="AC40" i="7" s="1"/>
  <c r="AC9" i="7"/>
  <c r="AC7" i="7" s="1"/>
  <c r="AC167" i="8"/>
  <c r="AC165" i="8" s="1"/>
  <c r="AC189" i="8"/>
  <c r="AC187" i="8" s="1"/>
  <c r="AC20" i="8"/>
  <c r="AC18" i="8" s="1"/>
  <c r="AC43" i="8"/>
  <c r="AC41" i="8" s="1"/>
  <c r="AC88" i="8"/>
  <c r="AC86" i="8" s="1"/>
  <c r="AC133" i="8"/>
  <c r="AC131" i="8" s="1"/>
  <c r="AC155" i="8"/>
  <c r="AC153" i="8" s="1"/>
  <c r="AC178" i="8"/>
  <c r="AC176" i="8" s="1"/>
  <c r="AC201" i="8"/>
  <c r="AC199" i="8" s="1"/>
  <c r="AC212" i="8"/>
  <c r="AC210" i="8" s="1"/>
  <c r="AC65" i="8"/>
  <c r="AC63" i="8" s="1"/>
  <c r="AC110" i="8"/>
  <c r="AC108" i="8" s="1"/>
  <c r="AC224" i="8"/>
  <c r="AC222" i="8" s="1"/>
  <c r="AC54" i="8"/>
  <c r="AC52" i="8" s="1"/>
  <c r="AC99" i="8"/>
  <c r="AC97" i="8" s="1"/>
  <c r="AC144" i="8"/>
  <c r="AC142" i="8" s="1"/>
  <c r="K48" i="9" l="1"/>
  <c r="K46" i="9" s="1"/>
  <c r="K55" i="9" s="1"/>
  <c r="K65" i="9"/>
  <c r="K63" i="9" s="1"/>
  <c r="K72" i="9" s="1"/>
  <c r="K14" i="9"/>
  <c r="K12" i="9" s="1"/>
  <c r="K21" i="9" s="1"/>
  <c r="K31" i="9"/>
  <c r="Y121" i="8" l="1"/>
  <c r="X121" i="8"/>
  <c r="W121" i="8"/>
  <c r="W119" i="8" s="1"/>
  <c r="Y110" i="8"/>
  <c r="Y99" i="8"/>
  <c r="X99" i="8"/>
  <c r="W99" i="8"/>
  <c r="W97" i="8" s="1"/>
  <c r="Y88" i="8"/>
  <c r="X88" i="8"/>
  <c r="W88" i="8"/>
  <c r="W86" i="8" s="1"/>
  <c r="T121" i="8"/>
  <c r="S121" i="8"/>
  <c r="U110" i="8"/>
  <c r="T110" i="8"/>
  <c r="T108" i="8" s="1"/>
  <c r="S110" i="8"/>
  <c r="S108" i="8" s="1"/>
  <c r="U99" i="8"/>
  <c r="T99" i="8"/>
  <c r="S99" i="8"/>
  <c r="S88" i="8"/>
  <c r="S86" i="8" s="1"/>
  <c r="P121" i="8"/>
  <c r="O121" i="8"/>
  <c r="R110" i="8"/>
  <c r="R108" i="8" s="1"/>
  <c r="Q110" i="8"/>
  <c r="P110" i="8"/>
  <c r="Q99" i="8"/>
  <c r="P99" i="8"/>
  <c r="O99" i="8"/>
  <c r="O97" i="8" s="1"/>
  <c r="R88" i="8"/>
  <c r="R86" i="8" s="1"/>
  <c r="Q88" i="8"/>
  <c r="Q86" i="8" s="1"/>
  <c r="P88" i="8"/>
  <c r="P86" i="8" s="1"/>
  <c r="O88" i="8"/>
  <c r="Z121" i="8"/>
  <c r="Z119" i="8" s="1"/>
  <c r="Z110" i="8"/>
  <c r="Z108" i="8" s="1"/>
  <c r="Z99" i="8"/>
  <c r="Z97" i="8" s="1"/>
  <c r="Z88" i="8"/>
  <c r="Z86" i="8" s="1"/>
  <c r="V121" i="8"/>
  <c r="V119" i="8" s="1"/>
  <c r="U121" i="8"/>
  <c r="U119" i="8" s="1"/>
  <c r="V110" i="8"/>
  <c r="V108" i="8" s="1"/>
  <c r="V99" i="8"/>
  <c r="V97" i="8" s="1"/>
  <c r="V88" i="8"/>
  <c r="V86" i="8" s="1"/>
  <c r="U88" i="8"/>
  <c r="U86" i="8" s="1"/>
  <c r="R121" i="8"/>
  <c r="R119" i="8" s="1"/>
  <c r="R99" i="8"/>
  <c r="R97" i="8" s="1"/>
  <c r="K121" i="8"/>
  <c r="T88" i="8" l="1"/>
  <c r="T86" i="8" s="1"/>
  <c r="Q121" i="8"/>
  <c r="Q119" i="8" s="1"/>
  <c r="Q97" i="8"/>
  <c r="X110" i="8"/>
  <c r="X108" i="8" s="1"/>
  <c r="AB121" i="8"/>
  <c r="AB119" i="8" s="1"/>
  <c r="Q108" i="8"/>
  <c r="U97" i="8"/>
  <c r="U108" i="8"/>
  <c r="Y86" i="8"/>
  <c r="Y97" i="8"/>
  <c r="Y108" i="8"/>
  <c r="Y119" i="8"/>
  <c r="M99" i="8"/>
  <c r="M97" i="8" s="1"/>
  <c r="N88" i="8"/>
  <c r="N86" i="8" s="1"/>
  <c r="N121" i="8"/>
  <c r="N119" i="8" s="1"/>
  <c r="L110" i="8"/>
  <c r="M110" i="8"/>
  <c r="M108" i="8" s="1"/>
  <c r="N110" i="8"/>
  <c r="N108" i="8" s="1"/>
  <c r="P97" i="8"/>
  <c r="P108" i="8"/>
  <c r="P119" i="8"/>
  <c r="T97" i="8"/>
  <c r="T119" i="8"/>
  <c r="X119" i="8"/>
  <c r="X97" i="8"/>
  <c r="X86" i="8"/>
  <c r="AA88" i="8"/>
  <c r="AA86" i="8" s="1"/>
  <c r="N99" i="8"/>
  <c r="N97" i="8" s="1"/>
  <c r="AB88" i="8"/>
  <c r="AB86" i="8" s="1"/>
  <c r="AB99" i="8"/>
  <c r="AB97" i="8" s="1"/>
  <c r="AB110" i="8"/>
  <c r="AB108" i="8" s="1"/>
  <c r="AA121" i="8"/>
  <c r="AA119" i="8" s="1"/>
  <c r="L121" i="8"/>
  <c r="L119" i="8" s="1"/>
  <c r="M121" i="8"/>
  <c r="M119" i="8" s="1"/>
  <c r="L99" i="8"/>
  <c r="L97" i="8" s="1"/>
  <c r="AA99" i="8"/>
  <c r="AA97" i="8" s="1"/>
  <c r="O119" i="8"/>
  <c r="AA110" i="8"/>
  <c r="AA108" i="8" s="1"/>
  <c r="L88" i="8"/>
  <c r="L86" i="8" s="1"/>
  <c r="M88" i="8"/>
  <c r="M86" i="8" s="1"/>
  <c r="O110" i="8"/>
  <c r="O108" i="8" s="1"/>
  <c r="S119" i="8"/>
  <c r="O86" i="8"/>
  <c r="K99" i="8"/>
  <c r="K97" i="8" s="1"/>
  <c r="K110" i="8"/>
  <c r="K108" i="8" s="1"/>
  <c r="S97" i="8"/>
  <c r="W110" i="8"/>
  <c r="W108" i="8" s="1"/>
  <c r="L108" i="8"/>
  <c r="K119" i="8"/>
  <c r="AA189" i="8" l="1"/>
  <c r="AA187" i="8" s="1"/>
  <c r="W189" i="8"/>
  <c r="W187" i="8" s="1"/>
  <c r="S189" i="8"/>
  <c r="S187" i="8" s="1"/>
  <c r="O189" i="8"/>
  <c r="O187" i="8" s="1"/>
  <c r="K189" i="8"/>
  <c r="K187" i="8" s="1"/>
  <c r="AB189" i="8"/>
  <c r="AB187" i="8" s="1"/>
  <c r="Y189" i="8"/>
  <c r="X189" i="8"/>
  <c r="X187" i="8" s="1"/>
  <c r="U189" i="8"/>
  <c r="T189" i="8"/>
  <c r="T187" i="8" s="1"/>
  <c r="Q189" i="8"/>
  <c r="P189" i="8"/>
  <c r="P187" i="8" s="1"/>
  <c r="M189" i="8"/>
  <c r="L189" i="8"/>
  <c r="L187" i="8" s="1"/>
  <c r="Z189" i="8"/>
  <c r="Z187" i="8" s="1"/>
  <c r="V189" i="8"/>
  <c r="V187" i="8" s="1"/>
  <c r="R189" i="8"/>
  <c r="R187" i="8" s="1"/>
  <c r="N189" i="8"/>
  <c r="N187" i="8" s="1"/>
  <c r="AA178" i="8"/>
  <c r="AA176" i="8" s="1"/>
  <c r="W178" i="8"/>
  <c r="W176" i="8" s="1"/>
  <c r="S178" i="8"/>
  <c r="S176" i="8" s="1"/>
  <c r="O178" i="8"/>
  <c r="O176" i="8" s="1"/>
  <c r="AB178" i="8"/>
  <c r="AB176" i="8" s="1"/>
  <c r="Y178" i="8"/>
  <c r="X178" i="8"/>
  <c r="X176" i="8" s="1"/>
  <c r="U178" i="8"/>
  <c r="T178" i="8"/>
  <c r="T176" i="8" s="1"/>
  <c r="Q178" i="8"/>
  <c r="P178" i="8"/>
  <c r="P176" i="8" s="1"/>
  <c r="M178" i="8"/>
  <c r="L178" i="8"/>
  <c r="L176" i="8" s="1"/>
  <c r="Z178" i="8"/>
  <c r="Z176" i="8" s="1"/>
  <c r="V178" i="8"/>
  <c r="V176" i="8" s="1"/>
  <c r="R178" i="8"/>
  <c r="R176" i="8" s="1"/>
  <c r="N178" i="8"/>
  <c r="N176" i="8" s="1"/>
  <c r="AA167" i="8"/>
  <c r="AA165" i="8" s="1"/>
  <c r="W167" i="8"/>
  <c r="W165" i="8" s="1"/>
  <c r="S167" i="8"/>
  <c r="S165" i="8" s="1"/>
  <c r="O167" i="8"/>
  <c r="O165" i="8" s="1"/>
  <c r="K167" i="8"/>
  <c r="AB167" i="8"/>
  <c r="AB165" i="8" s="1"/>
  <c r="Y167" i="8"/>
  <c r="X167" i="8"/>
  <c r="X165" i="8" s="1"/>
  <c r="U167" i="8"/>
  <c r="T167" i="8"/>
  <c r="T165" i="8" s="1"/>
  <c r="Q167" i="8"/>
  <c r="P167" i="8"/>
  <c r="P165" i="8" s="1"/>
  <c r="M167" i="8"/>
  <c r="L167" i="8"/>
  <c r="L165" i="8" s="1"/>
  <c r="Z167" i="8"/>
  <c r="Z165" i="8" s="1"/>
  <c r="V167" i="8"/>
  <c r="V165" i="8" s="1"/>
  <c r="R167" i="8"/>
  <c r="R165" i="8" s="1"/>
  <c r="N167" i="8"/>
  <c r="N165" i="8" s="1"/>
  <c r="X155" i="8"/>
  <c r="X153" i="8" s="1"/>
  <c r="P155" i="8"/>
  <c r="P153" i="8" s="1"/>
  <c r="AA155" i="8"/>
  <c r="AA153" i="8" s="1"/>
  <c r="Z155" i="8"/>
  <c r="Z153" i="8" s="1"/>
  <c r="V155" i="8"/>
  <c r="V153" i="8" s="1"/>
  <c r="S155" i="8"/>
  <c r="S153" i="8" s="1"/>
  <c r="R155" i="8"/>
  <c r="R153" i="8" s="1"/>
  <c r="N155" i="8"/>
  <c r="N153" i="8" s="1"/>
  <c r="AB155" i="8"/>
  <c r="AB153" i="8" s="1"/>
  <c r="W155" i="8"/>
  <c r="W153" i="8" s="1"/>
  <c r="T155" i="8"/>
  <c r="T153" i="8" s="1"/>
  <c r="O155" i="8"/>
  <c r="O153" i="8" s="1"/>
  <c r="L155" i="8"/>
  <c r="L153" i="8" s="1"/>
  <c r="W144" i="8"/>
  <c r="W142" i="8" s="1"/>
  <c r="S144" i="8"/>
  <c r="S142" i="8" s="1"/>
  <c r="O144" i="8"/>
  <c r="O142" i="8" s="1"/>
  <c r="AB144" i="8"/>
  <c r="AB142" i="8" s="1"/>
  <c r="Y144" i="8"/>
  <c r="Y142" i="8" s="1"/>
  <c r="U144" i="8"/>
  <c r="U142" i="8" s="1"/>
  <c r="Q144" i="8"/>
  <c r="Q142" i="8" s="1"/>
  <c r="M144" i="8"/>
  <c r="M142" i="8" s="1"/>
  <c r="L144" i="8"/>
  <c r="AA144" i="8"/>
  <c r="AA142" i="8" s="1"/>
  <c r="T144" i="8"/>
  <c r="T142" i="8" s="1"/>
  <c r="K144" i="8"/>
  <c r="X133" i="8"/>
  <c r="X131" i="8" s="1"/>
  <c r="W133" i="8"/>
  <c r="W131" i="8" s="1"/>
  <c r="T133" i="8"/>
  <c r="T131" i="8" s="1"/>
  <c r="S133" i="8"/>
  <c r="S131" i="8" s="1"/>
  <c r="P133" i="8"/>
  <c r="P131" i="8" s="1"/>
  <c r="O133" i="8"/>
  <c r="O131" i="8" s="1"/>
  <c r="Z133" i="8"/>
  <c r="Y133" i="8"/>
  <c r="V133" i="8"/>
  <c r="U133" i="8"/>
  <c r="R133" i="8"/>
  <c r="R131" i="8" s="1"/>
  <c r="Q133" i="8"/>
  <c r="Q131" i="8" s="1"/>
  <c r="N133" i="8"/>
  <c r="N131" i="8" s="1"/>
  <c r="M133" i="8"/>
  <c r="M131" i="8" s="1"/>
  <c r="AB133" i="8"/>
  <c r="AB131" i="8" s="1"/>
  <c r="AA133" i="8"/>
  <c r="AA131" i="8" s="1"/>
  <c r="L133" i="8"/>
  <c r="L131" i="8" s="1"/>
  <c r="K133" i="8"/>
  <c r="K131" i="8" s="1"/>
  <c r="Z131" i="8"/>
  <c r="Y131" i="8"/>
  <c r="V131" i="8"/>
  <c r="U131" i="8"/>
  <c r="AA99" i="7"/>
  <c r="S99" i="7"/>
  <c r="R99" i="7"/>
  <c r="U99" i="7"/>
  <c r="Y99" i="7"/>
  <c r="W99" i="7"/>
  <c r="X99" i="7"/>
  <c r="Z99" i="7"/>
  <c r="AB99" i="7"/>
  <c r="AA110" i="7"/>
  <c r="W222" i="7"/>
  <c r="Z211" i="7"/>
  <c r="Y200" i="7"/>
  <c r="U200" i="7"/>
  <c r="Q200" i="7"/>
  <c r="M200" i="7"/>
  <c r="T200" i="7"/>
  <c r="S189" i="7"/>
  <c r="K189" i="7"/>
  <c r="U189" i="7"/>
  <c r="Q189" i="7"/>
  <c r="M189" i="7"/>
  <c r="W189" i="7"/>
  <c r="W187" i="7" s="1"/>
  <c r="I48" i="9" l="1"/>
  <c r="Q99" i="7"/>
  <c r="Q97" i="7" s="1"/>
  <c r="R132" i="7"/>
  <c r="R130" i="7" s="1"/>
  <c r="N99" i="7"/>
  <c r="N97" i="7" s="1"/>
  <c r="O99" i="7"/>
  <c r="P99" i="7"/>
  <c r="K166" i="7"/>
  <c r="K164" i="7" s="1"/>
  <c r="K222" i="7"/>
  <c r="K220" i="7" s="1"/>
  <c r="K187" i="7"/>
  <c r="S187" i="7"/>
  <c r="U211" i="7"/>
  <c r="U209" i="7" s="1"/>
  <c r="L110" i="7"/>
  <c r="L108" i="7" s="1"/>
  <c r="L121" i="7"/>
  <c r="L132" i="7"/>
  <c r="M121" i="7"/>
  <c r="M119" i="7" s="1"/>
  <c r="M132" i="7"/>
  <c r="M130" i="7" s="1"/>
  <c r="N110" i="7"/>
  <c r="N108" i="7" s="1"/>
  <c r="N132" i="7"/>
  <c r="O110" i="7"/>
  <c r="O108" i="7" s="1"/>
  <c r="O132" i="7"/>
  <c r="O130" i="7" s="1"/>
  <c r="P110" i="7"/>
  <c r="P121" i="7"/>
  <c r="P119" i="7" s="1"/>
  <c r="P132" i="7"/>
  <c r="P130" i="7" s="1"/>
  <c r="Q121" i="7"/>
  <c r="Q119" i="7" s="1"/>
  <c r="Q132" i="7"/>
  <c r="Q130" i="7" s="1"/>
  <c r="R110" i="7"/>
  <c r="S110" i="7"/>
  <c r="S108" i="7" s="1"/>
  <c r="S132" i="7"/>
  <c r="S130" i="7" s="1"/>
  <c r="T110" i="7"/>
  <c r="T108" i="7" s="1"/>
  <c r="T121" i="7"/>
  <c r="T132" i="7"/>
  <c r="T130" i="7" s="1"/>
  <c r="U97" i="7"/>
  <c r="U121" i="7"/>
  <c r="U119" i="7" s="1"/>
  <c r="U132" i="7"/>
  <c r="U130" i="7" s="1"/>
  <c r="R189" i="7"/>
  <c r="R187" i="7" s="1"/>
  <c r="F48" i="9"/>
  <c r="M48" i="9"/>
  <c r="O189" i="7"/>
  <c r="O187" i="7" s="1"/>
  <c r="AA189" i="7"/>
  <c r="AA187" i="7" s="1"/>
  <c r="Y189" i="7"/>
  <c r="Y187" i="7" s="1"/>
  <c r="L48" i="9"/>
  <c r="N211" i="7"/>
  <c r="R211" i="7"/>
  <c r="R209" i="7" s="1"/>
  <c r="V211" i="7"/>
  <c r="V209" i="7" s="1"/>
  <c r="O222" i="7"/>
  <c r="O220" i="7" s="1"/>
  <c r="S222" i="7"/>
  <c r="AA222" i="7"/>
  <c r="AA220" i="7" s="1"/>
  <c r="J31" i="9"/>
  <c r="I65" i="9"/>
  <c r="M65" i="9"/>
  <c r="M63" i="9" s="1"/>
  <c r="F31" i="9"/>
  <c r="V110" i="7"/>
  <c r="V108" i="7" s="1"/>
  <c r="H48" i="9"/>
  <c r="H46" i="9" s="1"/>
  <c r="H55" i="9" s="1"/>
  <c r="V132" i="7"/>
  <c r="V130" i="7" s="1"/>
  <c r="J65" i="9"/>
  <c r="W110" i="7"/>
  <c r="W132" i="7"/>
  <c r="W130" i="7" s="1"/>
  <c r="X110" i="7"/>
  <c r="X108" i="7" s="1"/>
  <c r="X121" i="7"/>
  <c r="X119" i="7" s="1"/>
  <c r="X132" i="7"/>
  <c r="X130" i="7" s="1"/>
  <c r="Y97" i="7"/>
  <c r="Y121" i="7"/>
  <c r="Y119" i="7" s="1"/>
  <c r="Y132" i="7"/>
  <c r="Y130" i="7" s="1"/>
  <c r="Z110" i="7"/>
  <c r="Z108" i="7" s="1"/>
  <c r="Z132" i="7"/>
  <c r="Z130" i="7" s="1"/>
  <c r="AA132" i="7"/>
  <c r="AA130" i="7" s="1"/>
  <c r="AB110" i="7"/>
  <c r="AB108" i="7" s="1"/>
  <c r="AB121" i="7"/>
  <c r="AB119" i="7" s="1"/>
  <c r="AB132" i="7"/>
  <c r="AB130" i="7" s="1"/>
  <c r="L211" i="7"/>
  <c r="L209" i="7" s="1"/>
  <c r="P211" i="7"/>
  <c r="P209" i="7" s="1"/>
  <c r="T211" i="7"/>
  <c r="T209" i="7" s="1"/>
  <c r="X211" i="7"/>
  <c r="X209" i="7" s="1"/>
  <c r="AB211" i="7"/>
  <c r="AB209" i="7" s="1"/>
  <c r="M222" i="7"/>
  <c r="M220" i="7" s="1"/>
  <c r="Q222" i="7"/>
  <c r="Q220" i="7" s="1"/>
  <c r="U222" i="7"/>
  <c r="U220" i="7" s="1"/>
  <c r="Y222" i="7"/>
  <c r="Y220" i="7" s="1"/>
  <c r="V99" i="7"/>
  <c r="V97" i="7" s="1"/>
  <c r="H31" i="9"/>
  <c r="H29" i="9" s="1"/>
  <c r="L31" i="9"/>
  <c r="F65" i="9"/>
  <c r="K155" i="7"/>
  <c r="K153" i="7" s="1"/>
  <c r="T198" i="7"/>
  <c r="O200" i="7"/>
  <c r="O198" i="7" s="1"/>
  <c r="S200" i="7"/>
  <c r="S198" i="7" s="1"/>
  <c r="W200" i="7"/>
  <c r="W198" i="7" s="1"/>
  <c r="AA200" i="7"/>
  <c r="AA198" i="7" s="1"/>
  <c r="I31" i="9"/>
  <c r="M31" i="9"/>
  <c r="J48" i="9"/>
  <c r="H65" i="9"/>
  <c r="L65" i="9"/>
  <c r="K200" i="7"/>
  <c r="K198" i="7" s="1"/>
  <c r="K211" i="7"/>
  <c r="K209" i="7" s="1"/>
  <c r="K155" i="8"/>
  <c r="K153" i="8" s="1"/>
  <c r="K178" i="8"/>
  <c r="K176" i="8" s="1"/>
  <c r="K165" i="8"/>
  <c r="K88" i="8"/>
  <c r="K86" i="8" s="1"/>
  <c r="K142" i="8"/>
  <c r="L142" i="8"/>
  <c r="M165" i="8"/>
  <c r="Q165" i="8"/>
  <c r="U165" i="8"/>
  <c r="Y165" i="8"/>
  <c r="M176" i="8"/>
  <c r="Q176" i="8"/>
  <c r="U176" i="8"/>
  <c r="Y176" i="8"/>
  <c r="M187" i="8"/>
  <c r="Q187" i="8"/>
  <c r="U187" i="8"/>
  <c r="Y187" i="8"/>
  <c r="N144" i="8"/>
  <c r="N142" i="8" s="1"/>
  <c r="R144" i="8"/>
  <c r="R142" i="8" s="1"/>
  <c r="V144" i="8"/>
  <c r="V142" i="8" s="1"/>
  <c r="Z144" i="8"/>
  <c r="Z142" i="8" s="1"/>
  <c r="P144" i="8"/>
  <c r="P142" i="8" s="1"/>
  <c r="X144" i="8"/>
  <c r="X142" i="8" s="1"/>
  <c r="M155" i="8"/>
  <c r="M153" i="8" s="1"/>
  <c r="Q155" i="8"/>
  <c r="Q153" i="8" s="1"/>
  <c r="U155" i="8"/>
  <c r="U153" i="8" s="1"/>
  <c r="Y155" i="8"/>
  <c r="Y153" i="8" s="1"/>
  <c r="K177" i="7"/>
  <c r="K175" i="7" s="1"/>
  <c r="W97" i="7"/>
  <c r="L99" i="7"/>
  <c r="L97" i="7" s="1"/>
  <c r="M99" i="7"/>
  <c r="M97" i="7" s="1"/>
  <c r="L189" i="7"/>
  <c r="L187" i="7" s="1"/>
  <c r="P189" i="7"/>
  <c r="P187" i="7" s="1"/>
  <c r="T189" i="7"/>
  <c r="T187" i="7" s="1"/>
  <c r="X189" i="7"/>
  <c r="X187" i="7" s="1"/>
  <c r="AB189" i="7"/>
  <c r="AB187" i="7" s="1"/>
  <c r="N189" i="7"/>
  <c r="N187" i="7" s="1"/>
  <c r="V189" i="7"/>
  <c r="V187" i="7" s="1"/>
  <c r="Z189" i="7"/>
  <c r="Z187" i="7" s="1"/>
  <c r="L200" i="7"/>
  <c r="L198" i="7" s="1"/>
  <c r="P200" i="7"/>
  <c r="P198" i="7" s="1"/>
  <c r="X200" i="7"/>
  <c r="X198" i="7" s="1"/>
  <c r="AB200" i="7"/>
  <c r="AB198" i="7" s="1"/>
  <c r="N200" i="7"/>
  <c r="N198" i="7" s="1"/>
  <c r="R200" i="7"/>
  <c r="R198" i="7" s="1"/>
  <c r="V200" i="7"/>
  <c r="V198" i="7" s="1"/>
  <c r="Z200" i="7"/>
  <c r="Z198" i="7" s="1"/>
  <c r="M211" i="7"/>
  <c r="M209" i="7" s="1"/>
  <c r="Q211" i="7"/>
  <c r="Q209" i="7" s="1"/>
  <c r="Y211" i="7"/>
  <c r="Y209" i="7" s="1"/>
  <c r="O211" i="7"/>
  <c r="O209" i="7" s="1"/>
  <c r="S211" i="7"/>
  <c r="S209" i="7" s="1"/>
  <c r="W211" i="7"/>
  <c r="W209" i="7" s="1"/>
  <c r="AA211" i="7"/>
  <c r="AA209" i="7" s="1"/>
  <c r="N222" i="7"/>
  <c r="N220" i="7" s="1"/>
  <c r="R222" i="7"/>
  <c r="R220" i="7" s="1"/>
  <c r="V222" i="7"/>
  <c r="V220" i="7" s="1"/>
  <c r="Z222" i="7"/>
  <c r="Z220" i="7" s="1"/>
  <c r="L222" i="7"/>
  <c r="L220" i="7" s="1"/>
  <c r="P222" i="7"/>
  <c r="P220" i="7" s="1"/>
  <c r="T222" i="7"/>
  <c r="T220" i="7" s="1"/>
  <c r="X222" i="7"/>
  <c r="X220" i="7" s="1"/>
  <c r="AB222" i="7"/>
  <c r="AB220" i="7" s="1"/>
  <c r="AA97" i="7"/>
  <c r="T99" i="7"/>
  <c r="T97" i="7" s="1"/>
  <c r="S97" i="7"/>
  <c r="O97" i="7"/>
  <c r="R97" i="7"/>
  <c r="L130" i="7"/>
  <c r="AA108" i="7"/>
  <c r="W108" i="7"/>
  <c r="T119" i="7"/>
  <c r="L119" i="7"/>
  <c r="Z121" i="7"/>
  <c r="Z119" i="7" s="1"/>
  <c r="V121" i="7"/>
  <c r="V119" i="7" s="1"/>
  <c r="R121" i="7"/>
  <c r="R119" i="7" s="1"/>
  <c r="N121" i="7"/>
  <c r="N119" i="7" s="1"/>
  <c r="AA121" i="7"/>
  <c r="AA119" i="7" s="1"/>
  <c r="W121" i="7"/>
  <c r="W119" i="7" s="1"/>
  <c r="S121" i="7"/>
  <c r="S119" i="7" s="1"/>
  <c r="O121" i="7"/>
  <c r="O119" i="7" s="1"/>
  <c r="P108" i="7"/>
  <c r="Z97" i="7"/>
  <c r="N130" i="7"/>
  <c r="Y110" i="7"/>
  <c r="Y108" i="7" s="1"/>
  <c r="U110" i="7"/>
  <c r="U108" i="7" s="1"/>
  <c r="Q110" i="7"/>
  <c r="Q108" i="7" s="1"/>
  <c r="M110" i="7"/>
  <c r="M108" i="7" s="1"/>
  <c r="R108" i="7"/>
  <c r="AB97" i="7"/>
  <c r="X97" i="7"/>
  <c r="P97" i="7"/>
  <c r="M198" i="7"/>
  <c r="Q198" i="7"/>
  <c r="S220" i="7"/>
  <c r="U198" i="7"/>
  <c r="W220" i="7"/>
  <c r="Y198" i="7"/>
  <c r="M187" i="7"/>
  <c r="Q187" i="7"/>
  <c r="U187" i="7"/>
  <c r="N209" i="7"/>
  <c r="Z209" i="7"/>
  <c r="K29" i="9" l="1"/>
  <c r="AA177" i="7"/>
  <c r="AA175" i="7" s="1"/>
  <c r="Z177" i="7"/>
  <c r="Z175" i="7" s="1"/>
  <c r="W177" i="7"/>
  <c r="W175" i="7" s="1"/>
  <c r="V177" i="7"/>
  <c r="V175" i="7" s="1"/>
  <c r="S177" i="7"/>
  <c r="S175" i="7" s="1"/>
  <c r="R177" i="7"/>
  <c r="O177" i="7"/>
  <c r="O175" i="7" s="1"/>
  <c r="N177" i="7"/>
  <c r="N175" i="7" s="1"/>
  <c r="AB177" i="7"/>
  <c r="AB175" i="7" s="1"/>
  <c r="Y177" i="7"/>
  <c r="Y175" i="7" s="1"/>
  <c r="X177" i="7"/>
  <c r="X175" i="7" s="1"/>
  <c r="U177" i="7"/>
  <c r="U175" i="7" s="1"/>
  <c r="T177" i="7"/>
  <c r="T175" i="7" s="1"/>
  <c r="Q177" i="7"/>
  <c r="Q175" i="7" s="1"/>
  <c r="P177" i="7"/>
  <c r="P175" i="7" s="1"/>
  <c r="M177" i="7"/>
  <c r="M175" i="7" s="1"/>
  <c r="L177" i="7"/>
  <c r="L175" i="7" s="1"/>
  <c r="R175" i="7"/>
  <c r="AA166" i="7"/>
  <c r="Z166" i="7"/>
  <c r="Z164" i="7" s="1"/>
  <c r="W166" i="7"/>
  <c r="V166" i="7"/>
  <c r="V164" i="7" s="1"/>
  <c r="S166" i="7"/>
  <c r="R166" i="7"/>
  <c r="R164" i="7" s="1"/>
  <c r="O166" i="7"/>
  <c r="N166" i="7"/>
  <c r="N164" i="7" s="1"/>
  <c r="AB166" i="7"/>
  <c r="AB164" i="7" s="1"/>
  <c r="Y166" i="7"/>
  <c r="Y164" i="7" s="1"/>
  <c r="X166" i="7"/>
  <c r="X164" i="7" s="1"/>
  <c r="U166" i="7"/>
  <c r="U164" i="7" s="1"/>
  <c r="T166" i="7"/>
  <c r="T164" i="7" s="1"/>
  <c r="Q166" i="7"/>
  <c r="Q164" i="7" s="1"/>
  <c r="P166" i="7"/>
  <c r="P164" i="7" s="1"/>
  <c r="M166" i="7"/>
  <c r="M164" i="7" s="1"/>
  <c r="L166" i="7"/>
  <c r="L164" i="7" s="1"/>
  <c r="AA155" i="7"/>
  <c r="Z155" i="7"/>
  <c r="W155" i="7"/>
  <c r="V155" i="7"/>
  <c r="V153" i="7" s="1"/>
  <c r="S155" i="7"/>
  <c r="R155" i="7"/>
  <c r="R153" i="7" s="1"/>
  <c r="O155" i="7"/>
  <c r="N155" i="7"/>
  <c r="N153" i="7" s="1"/>
  <c r="AB155" i="7"/>
  <c r="AB153" i="7" s="1"/>
  <c r="Y155" i="7"/>
  <c r="Y153" i="7" s="1"/>
  <c r="X155" i="7"/>
  <c r="X153" i="7" s="1"/>
  <c r="U155" i="7"/>
  <c r="U153" i="7" s="1"/>
  <c r="T155" i="7"/>
  <c r="T153" i="7" s="1"/>
  <c r="Q155" i="7"/>
  <c r="Q153" i="7" s="1"/>
  <c r="P155" i="7"/>
  <c r="P153" i="7" s="1"/>
  <c r="M155" i="7"/>
  <c r="M153" i="7" s="1"/>
  <c r="L155" i="7"/>
  <c r="L153" i="7" s="1"/>
  <c r="Z153" i="7"/>
  <c r="AA144" i="7"/>
  <c r="Z144" i="7"/>
  <c r="Z142" i="7" s="1"/>
  <c r="W144" i="7"/>
  <c r="V144" i="7"/>
  <c r="V142" i="7" s="1"/>
  <c r="S144" i="7"/>
  <c r="R144" i="7"/>
  <c r="R142" i="7" s="1"/>
  <c r="O144" i="7"/>
  <c r="N144" i="7"/>
  <c r="N142" i="7" s="1"/>
  <c r="K144" i="7"/>
  <c r="AB144" i="7"/>
  <c r="AB142" i="7" s="1"/>
  <c r="Y144" i="7"/>
  <c r="Y142" i="7" s="1"/>
  <c r="X144" i="7"/>
  <c r="X142" i="7" s="1"/>
  <c r="U144" i="7"/>
  <c r="U142" i="7" s="1"/>
  <c r="T144" i="7"/>
  <c r="T142" i="7" s="1"/>
  <c r="Q144" i="7"/>
  <c r="Q142" i="7" s="1"/>
  <c r="P144" i="7"/>
  <c r="P142" i="7" s="1"/>
  <c r="M144" i="7"/>
  <c r="M142" i="7" s="1"/>
  <c r="L144" i="7"/>
  <c r="L142" i="7" s="1"/>
  <c r="K142" i="7" l="1"/>
  <c r="O142" i="7"/>
  <c r="S142" i="7"/>
  <c r="W142" i="7"/>
  <c r="AA142" i="7"/>
  <c r="O153" i="7"/>
  <c r="S153" i="7"/>
  <c r="W153" i="7"/>
  <c r="AA153" i="7"/>
  <c r="O164" i="7"/>
  <c r="S164" i="7"/>
  <c r="W164" i="7"/>
  <c r="AA164" i="7"/>
  <c r="K132" i="7" l="1"/>
  <c r="K130" i="7" s="1"/>
  <c r="K121" i="7"/>
  <c r="K119" i="7" s="1"/>
  <c r="K110" i="7"/>
  <c r="K108" i="7" s="1"/>
  <c r="K99" i="7" l="1"/>
  <c r="K97" i="7" s="1"/>
  <c r="Z256" i="7"/>
  <c r="V256" i="7"/>
  <c r="V254" i="7" s="1"/>
  <c r="R256" i="7"/>
  <c r="R254" i="7" s="1"/>
  <c r="N256" i="7"/>
  <c r="N254" i="7" s="1"/>
  <c r="Z234" i="7"/>
  <c r="Z232" i="7" s="1"/>
  <c r="V234" i="7"/>
  <c r="V232" i="7" s="1"/>
  <c r="R234" i="7"/>
  <c r="R232" i="7" s="1"/>
  <c r="N234" i="7"/>
  <c r="N232" i="7" s="1"/>
  <c r="AA256" i="7"/>
  <c r="AA254" i="7" s="1"/>
  <c r="W256" i="7"/>
  <c r="W254" i="7" s="1"/>
  <c r="S256" i="7"/>
  <c r="S254" i="7" s="1"/>
  <c r="O256" i="7"/>
  <c r="O254" i="7" s="1"/>
  <c r="K256" i="7"/>
  <c r="K254" i="7" s="1"/>
  <c r="AA234" i="7"/>
  <c r="AA232" i="7" s="1"/>
  <c r="W234" i="7"/>
  <c r="W232" i="7" s="1"/>
  <c r="S234" i="7"/>
  <c r="O234" i="7"/>
  <c r="O232" i="7" s="1"/>
  <c r="K234" i="7"/>
  <c r="K232" i="7" s="1"/>
  <c r="Y267" i="7"/>
  <c r="Y265" i="7" s="1"/>
  <c r="U267" i="7"/>
  <c r="U265" i="7" s="1"/>
  <c r="Q267" i="7"/>
  <c r="Q265" i="7" s="1"/>
  <c r="M267" i="7"/>
  <c r="M265" i="7" s="1"/>
  <c r="AA267" i="7"/>
  <c r="AA265" i="7" s="1"/>
  <c r="W267" i="7"/>
  <c r="W265" i="7" s="1"/>
  <c r="S267" i="7"/>
  <c r="S265" i="7" s="1"/>
  <c r="O267" i="7"/>
  <c r="O265" i="7" s="1"/>
  <c r="K267" i="7"/>
  <c r="K265" i="7" s="1"/>
  <c r="Y245" i="7"/>
  <c r="Y243" i="7" s="1"/>
  <c r="U245" i="7"/>
  <c r="U243" i="7" s="1"/>
  <c r="Q245" i="7"/>
  <c r="Q243" i="7" s="1"/>
  <c r="M245" i="7"/>
  <c r="M243" i="7" s="1"/>
  <c r="AA245" i="7"/>
  <c r="AA243" i="7" s="1"/>
  <c r="W245" i="7"/>
  <c r="W243" i="7" s="1"/>
  <c r="S245" i="7"/>
  <c r="S243" i="7" s="1"/>
  <c r="O245" i="7"/>
  <c r="O243" i="7" s="1"/>
  <c r="K245" i="7"/>
  <c r="K243" i="7" s="1"/>
  <c r="Z254" i="7"/>
  <c r="X256" i="7"/>
  <c r="X254" i="7" s="1"/>
  <c r="T256" i="7"/>
  <c r="T254" i="7" s="1"/>
  <c r="P256" i="7"/>
  <c r="P254" i="7" s="1"/>
  <c r="L256" i="7"/>
  <c r="L254" i="7" s="1"/>
  <c r="AB234" i="7"/>
  <c r="AB232" i="7" s="1"/>
  <c r="X234" i="7"/>
  <c r="X232" i="7" s="1"/>
  <c r="T234" i="7"/>
  <c r="T232" i="7" s="1"/>
  <c r="P234" i="7"/>
  <c r="P232" i="7" s="1"/>
  <c r="L234" i="7"/>
  <c r="L232" i="7" s="1"/>
  <c r="AB267" i="7"/>
  <c r="AB265" i="7" s="1"/>
  <c r="X267" i="7"/>
  <c r="X265" i="7" s="1"/>
  <c r="T267" i="7"/>
  <c r="T265" i="7" s="1"/>
  <c r="P267" i="7"/>
  <c r="P265" i="7" s="1"/>
  <c r="L267" i="7"/>
  <c r="L265" i="7" s="1"/>
  <c r="AB245" i="7"/>
  <c r="AB243" i="7" s="1"/>
  <c r="X245" i="7"/>
  <c r="X243" i="7" s="1"/>
  <c r="T245" i="7"/>
  <c r="T243" i="7" s="1"/>
  <c r="P245" i="7"/>
  <c r="P243" i="7" s="1"/>
  <c r="L245" i="7"/>
  <c r="L243" i="7" s="1"/>
  <c r="Z245" i="7"/>
  <c r="Z243" i="7" s="1"/>
  <c r="V245" i="7"/>
  <c r="V243" i="7" s="1"/>
  <c r="R245" i="7"/>
  <c r="R243" i="7" s="1"/>
  <c r="N245" i="7"/>
  <c r="N243" i="7" s="1"/>
  <c r="Y256" i="7"/>
  <c r="Y254" i="7" s="1"/>
  <c r="U256" i="7"/>
  <c r="U254" i="7" s="1"/>
  <c r="Q256" i="7"/>
  <c r="Q254" i="7" s="1"/>
  <c r="M256" i="7"/>
  <c r="M254" i="7" s="1"/>
  <c r="S232" i="7"/>
  <c r="Y234" i="7"/>
  <c r="Y232" i="7" s="1"/>
  <c r="U234" i="7"/>
  <c r="U232" i="7" s="1"/>
  <c r="Q234" i="7"/>
  <c r="Q232" i="7" s="1"/>
  <c r="M234" i="7"/>
  <c r="M232" i="7" s="1"/>
  <c r="Z267" i="7"/>
  <c r="Z265" i="7" s="1"/>
  <c r="R267" i="7"/>
  <c r="R265" i="7" s="1"/>
  <c r="N267" i="7"/>
  <c r="N265" i="7" s="1"/>
  <c r="V267" i="7"/>
  <c r="V265" i="7" s="1"/>
  <c r="AB256" i="7"/>
  <c r="AB254" i="7" s="1"/>
  <c r="G71" i="9"/>
  <c r="E71" i="9" s="1"/>
  <c r="G69" i="9"/>
  <c r="E69" i="9" s="1"/>
  <c r="G67" i="9"/>
  <c r="E67" i="9" s="1"/>
  <c r="G51" i="9"/>
  <c r="E51" i="9" s="1"/>
  <c r="G35" i="9"/>
  <c r="E35" i="9" s="1"/>
  <c r="G33" i="9"/>
  <c r="E33" i="9" s="1"/>
  <c r="G32" i="9"/>
  <c r="E32" i="9" s="1"/>
  <c r="G16" i="9"/>
  <c r="E16" i="9" s="1"/>
  <c r="G18" i="9" l="1"/>
  <c r="E18" i="9" s="1"/>
  <c r="G37" i="9"/>
  <c r="E37" i="9" s="1"/>
  <c r="G34" i="9"/>
  <c r="E34" i="9" s="1"/>
  <c r="G50" i="9"/>
  <c r="E50" i="9" s="1"/>
  <c r="G68" i="9"/>
  <c r="E68" i="9" s="1"/>
  <c r="G66" i="9"/>
  <c r="E66" i="9" s="1"/>
  <c r="M201" i="8"/>
  <c r="M199" i="8" s="1"/>
  <c r="U201" i="8"/>
  <c r="U199" i="8" s="1"/>
  <c r="Y201" i="8"/>
  <c r="Y199" i="8" s="1"/>
  <c r="K201" i="8"/>
  <c r="K199" i="8" s="1"/>
  <c r="O201" i="8"/>
  <c r="O199" i="8" s="1"/>
  <c r="S201" i="8"/>
  <c r="S199" i="8" s="1"/>
  <c r="W201" i="8"/>
  <c r="W199" i="8" s="1"/>
  <c r="AA201" i="8"/>
  <c r="F14" i="9"/>
  <c r="L14" i="9"/>
  <c r="G52" i="9"/>
  <c r="E52" i="9" s="1"/>
  <c r="G54" i="9"/>
  <c r="G15" i="9"/>
  <c r="E15" i="9" s="1"/>
  <c r="N15" i="9" s="1"/>
  <c r="J14" i="9"/>
  <c r="P224" i="8"/>
  <c r="P222" i="8" s="1"/>
  <c r="N212" i="8"/>
  <c r="N210" i="8" s="1"/>
  <c r="R212" i="8"/>
  <c r="R210" i="8" s="1"/>
  <c r="V65" i="8"/>
  <c r="V63" i="8" s="1"/>
  <c r="Z65" i="8"/>
  <c r="Z63" i="8" s="1"/>
  <c r="T65" i="8"/>
  <c r="T63" i="8" s="1"/>
  <c r="Z9" i="8"/>
  <c r="Z7" i="8" s="1"/>
  <c r="I14" i="9"/>
  <c r="M14" i="9"/>
  <c r="H14" i="9"/>
  <c r="G17" i="9"/>
  <c r="E17" i="9" s="1"/>
  <c r="G20" i="9"/>
  <c r="E20" i="9" s="1"/>
  <c r="G49" i="9"/>
  <c r="E49" i="9" s="1"/>
  <c r="N35" i="9"/>
  <c r="N33" i="9"/>
  <c r="N67" i="9"/>
  <c r="N51" i="9"/>
  <c r="N69" i="9"/>
  <c r="N16" i="9"/>
  <c r="Z43" i="8"/>
  <c r="V76" i="8"/>
  <c r="V74" i="8" s="1"/>
  <c r="S9" i="8"/>
  <c r="S7" i="8" s="1"/>
  <c r="L20" i="8"/>
  <c r="L18" i="8" s="1"/>
  <c r="P20" i="8"/>
  <c r="P18" i="8" s="1"/>
  <c r="AA54" i="8"/>
  <c r="AA52" i="8" s="1"/>
  <c r="U54" i="8"/>
  <c r="U52" i="8" s="1"/>
  <c r="U65" i="8"/>
  <c r="U63" i="8" s="1"/>
  <c r="Y65" i="8"/>
  <c r="Y63" i="8" s="1"/>
  <c r="S65" i="8"/>
  <c r="S63" i="8" s="1"/>
  <c r="W65" i="8"/>
  <c r="W63" i="8" s="1"/>
  <c r="Z76" i="8"/>
  <c r="Z74" i="8" s="1"/>
  <c r="M9" i="8"/>
  <c r="M7" i="8" s="1"/>
  <c r="Q9" i="8"/>
  <c r="Q7" i="8" s="1"/>
  <c r="U9" i="8"/>
  <c r="U7" i="8" s="1"/>
  <c r="Y9" i="8"/>
  <c r="Y7" i="8" s="1"/>
  <c r="K9" i="8"/>
  <c r="K7" i="8" s="1"/>
  <c r="W9" i="8"/>
  <c r="W7" i="8" s="1"/>
  <c r="M31" i="8"/>
  <c r="M29" i="8" s="1"/>
  <c r="Q31" i="8"/>
  <c r="Q29" i="8" s="1"/>
  <c r="U31" i="8"/>
  <c r="U29" i="8" s="1"/>
  <c r="Y31" i="8"/>
  <c r="Y29" i="8" s="1"/>
  <c r="T54" i="8"/>
  <c r="T52" i="8" s="1"/>
  <c r="X54" i="8"/>
  <c r="X52" i="8" s="1"/>
  <c r="AB54" i="8"/>
  <c r="AB52" i="8" s="1"/>
  <c r="K224" i="8"/>
  <c r="K222" i="8" s="1"/>
  <c r="N9" i="8"/>
  <c r="N7" i="8" s="1"/>
  <c r="R9" i="8"/>
  <c r="R7" i="8" s="1"/>
  <c r="K31" i="8"/>
  <c r="K29" i="8" s="1"/>
  <c r="O31" i="8"/>
  <c r="O29" i="8" s="1"/>
  <c r="S31" i="8"/>
  <c r="S29" i="8" s="1"/>
  <c r="W31" i="8"/>
  <c r="W29" i="8" s="1"/>
  <c r="V54" i="8"/>
  <c r="V52" i="8" s="1"/>
  <c r="Z54" i="8"/>
  <c r="Z52" i="8" s="1"/>
  <c r="L201" i="8"/>
  <c r="L199" i="8" s="1"/>
  <c r="P201" i="8"/>
  <c r="P199" i="8" s="1"/>
  <c r="T201" i="8"/>
  <c r="T199" i="8" s="1"/>
  <c r="X201" i="8"/>
  <c r="X199" i="8" s="1"/>
  <c r="AB201" i="8"/>
  <c r="AB199" i="8" s="1"/>
  <c r="U20" i="8"/>
  <c r="U18" i="8" s="1"/>
  <c r="S43" i="8"/>
  <c r="S41" i="8" s="1"/>
  <c r="AA43" i="8"/>
  <c r="AA41" i="8" s="1"/>
  <c r="T20" i="8"/>
  <c r="T18" i="8" s="1"/>
  <c r="X20" i="8"/>
  <c r="X18" i="8" s="1"/>
  <c r="AB20" i="8"/>
  <c r="AB18" i="8" s="1"/>
  <c r="M20" i="8"/>
  <c r="M18" i="8" s="1"/>
  <c r="Q20" i="8"/>
  <c r="Q18" i="8" s="1"/>
  <c r="Y20" i="8"/>
  <c r="Y18" i="8" s="1"/>
  <c r="K20" i="8"/>
  <c r="K18" i="8" s="1"/>
  <c r="O20" i="8"/>
  <c r="O18" i="8" s="1"/>
  <c r="S20" i="8"/>
  <c r="S18" i="8" s="1"/>
  <c r="AA20" i="8"/>
  <c r="AA18" i="8" s="1"/>
  <c r="L212" i="8"/>
  <c r="L210" i="8" s="1"/>
  <c r="Z212" i="8"/>
  <c r="Z210" i="8" s="1"/>
  <c r="O224" i="8"/>
  <c r="O222" i="8" s="1"/>
  <c r="W224" i="8"/>
  <c r="W222" i="8" s="1"/>
  <c r="AA224" i="8"/>
  <c r="AA222" i="8" s="1"/>
  <c r="L31" i="8"/>
  <c r="L29" i="8" s="1"/>
  <c r="P31" i="8"/>
  <c r="P29" i="8" s="1"/>
  <c r="T31" i="8"/>
  <c r="T29" i="8" s="1"/>
  <c r="X31" i="8"/>
  <c r="X29" i="8" s="1"/>
  <c r="AB31" i="8"/>
  <c r="AB29" i="8" s="1"/>
  <c r="N31" i="8"/>
  <c r="N29" i="8" s="1"/>
  <c r="R31" i="8"/>
  <c r="R29" i="8" s="1"/>
  <c r="V31" i="8"/>
  <c r="V29" i="8" s="1"/>
  <c r="Z31" i="8"/>
  <c r="Z29" i="8" s="1"/>
  <c r="M212" i="8"/>
  <c r="M210" i="8" s="1"/>
  <c r="Q212" i="8"/>
  <c r="Q210" i="8" s="1"/>
  <c r="U212" i="8"/>
  <c r="U210" i="8" s="1"/>
  <c r="Y212" i="8"/>
  <c r="Y210" i="8" s="1"/>
  <c r="K212" i="8"/>
  <c r="K210" i="8" s="1"/>
  <c r="O212" i="8"/>
  <c r="O210" i="8" s="1"/>
  <c r="S212" i="8"/>
  <c r="S210" i="8" s="1"/>
  <c r="W212" i="8"/>
  <c r="W210" i="8" s="1"/>
  <c r="AA212" i="8"/>
  <c r="AA210" i="8" s="1"/>
  <c r="AB224" i="8"/>
  <c r="AB222" i="8" s="1"/>
  <c r="Z41" i="8"/>
  <c r="T43" i="8"/>
  <c r="T41" i="8" s="1"/>
  <c r="X43" i="8"/>
  <c r="X41" i="8" s="1"/>
  <c r="AB43" i="8"/>
  <c r="AB41" i="8" s="1"/>
  <c r="V43" i="8"/>
  <c r="V41" i="8" s="1"/>
  <c r="Y54" i="8"/>
  <c r="Y52" i="8" s="1"/>
  <c r="S54" i="8"/>
  <c r="S52" i="8" s="1"/>
  <c r="W54" i="8"/>
  <c r="W52" i="8" s="1"/>
  <c r="S76" i="8"/>
  <c r="S74" i="8" s="1"/>
  <c r="W76" i="8"/>
  <c r="W74" i="8" s="1"/>
  <c r="AA76" i="8"/>
  <c r="AA74" i="8" s="1"/>
  <c r="U76" i="8"/>
  <c r="U74" i="8" s="1"/>
  <c r="AA199" i="8"/>
  <c r="Q201" i="8"/>
  <c r="Q199" i="8" s="1"/>
  <c r="V212" i="8"/>
  <c r="V210" i="8" s="1"/>
  <c r="P212" i="8"/>
  <c r="P210" i="8" s="1"/>
  <c r="X212" i="8"/>
  <c r="X210" i="8" s="1"/>
  <c r="O9" i="8"/>
  <c r="O7" i="8" s="1"/>
  <c r="AA9" i="8"/>
  <c r="AA7" i="8" s="1"/>
  <c r="L9" i="8"/>
  <c r="L7" i="8" s="1"/>
  <c r="P9" i="8"/>
  <c r="P7" i="8" s="1"/>
  <c r="T9" i="8"/>
  <c r="T7" i="8" s="1"/>
  <c r="X9" i="8"/>
  <c r="X7" i="8" s="1"/>
  <c r="AB9" i="8"/>
  <c r="AB7" i="8" s="1"/>
  <c r="V9" i="8"/>
  <c r="V7" i="8" s="1"/>
  <c r="W20" i="8"/>
  <c r="W18" i="8" s="1"/>
  <c r="AA31" i="8"/>
  <c r="AA29" i="8" s="1"/>
  <c r="U43" i="8"/>
  <c r="U41" i="8" s="1"/>
  <c r="Y43" i="8"/>
  <c r="Y41" i="8" s="1"/>
  <c r="W43" i="8"/>
  <c r="W41" i="8" s="1"/>
  <c r="AA65" i="8"/>
  <c r="AA63" i="8" s="1"/>
  <c r="N224" i="8"/>
  <c r="N222" i="8" s="1"/>
  <c r="R224" i="8"/>
  <c r="R222" i="8" s="1"/>
  <c r="V224" i="8"/>
  <c r="V222" i="8" s="1"/>
  <c r="Z224" i="8"/>
  <c r="Z222" i="8" s="1"/>
  <c r="L224" i="8"/>
  <c r="L222" i="8" s="1"/>
  <c r="T224" i="8"/>
  <c r="T222" i="8" s="1"/>
  <c r="X224" i="8"/>
  <c r="X222" i="8" s="1"/>
  <c r="N20" i="8"/>
  <c r="N18" i="8" s="1"/>
  <c r="R20" i="8"/>
  <c r="R18" i="8" s="1"/>
  <c r="V20" i="8"/>
  <c r="V18" i="8" s="1"/>
  <c r="Z20" i="8"/>
  <c r="Z18" i="8" s="1"/>
  <c r="Y76" i="8"/>
  <c r="Y74" i="8" s="1"/>
  <c r="X65" i="8"/>
  <c r="X63" i="8" s="1"/>
  <c r="AB65" i="8"/>
  <c r="AB63" i="8" s="1"/>
  <c r="T76" i="8"/>
  <c r="T74" i="8" s="1"/>
  <c r="X76" i="8"/>
  <c r="X74" i="8" s="1"/>
  <c r="AB76" i="8"/>
  <c r="AB74" i="8" s="1"/>
  <c r="N201" i="8"/>
  <c r="N199" i="8" s="1"/>
  <c r="R201" i="8"/>
  <c r="R199" i="8" s="1"/>
  <c r="V201" i="8"/>
  <c r="V199" i="8" s="1"/>
  <c r="Z201" i="8"/>
  <c r="Z199" i="8" s="1"/>
  <c r="T212" i="8"/>
  <c r="T210" i="8" s="1"/>
  <c r="AB212" i="8"/>
  <c r="AB210" i="8" s="1"/>
  <c r="M224" i="8"/>
  <c r="M222" i="8" s="1"/>
  <c r="Q224" i="8"/>
  <c r="Q222" i="8" s="1"/>
  <c r="U224" i="8"/>
  <c r="U222" i="8" s="1"/>
  <c r="Y224" i="8"/>
  <c r="Y222" i="8" s="1"/>
  <c r="S224" i="8"/>
  <c r="S222" i="8" s="1"/>
  <c r="E54" i="9" l="1"/>
  <c r="N54" i="9" s="1"/>
  <c r="F12" i="9"/>
  <c r="N50" i="9"/>
  <c r="N17" i="9"/>
  <c r="N34" i="9"/>
  <c r="N52" i="9"/>
  <c r="N68" i="9"/>
  <c r="N18" i="9"/>
  <c r="G65" i="9"/>
  <c r="E65" i="9" s="1"/>
  <c r="N66" i="9"/>
  <c r="N49" i="9"/>
  <c r="G48" i="9"/>
  <c r="E48" i="9" s="1"/>
  <c r="G14" i="9"/>
  <c r="E14" i="9" s="1"/>
  <c r="N37" i="9"/>
  <c r="N71" i="9"/>
  <c r="G31" i="9"/>
  <c r="E31" i="9" s="1"/>
  <c r="N20" i="9"/>
  <c r="N32" i="9"/>
  <c r="N31" i="9" l="1"/>
  <c r="N48" i="9"/>
  <c r="N65" i="9"/>
  <c r="N14" i="9"/>
  <c r="AA312" i="7" l="1"/>
  <c r="X312" i="7"/>
  <c r="X310" i="7" s="1"/>
  <c r="W312" i="7"/>
  <c r="T312" i="7"/>
  <c r="S312" i="7"/>
  <c r="P312" i="7"/>
  <c r="O312" i="7"/>
  <c r="L312" i="7"/>
  <c r="F63" i="9"/>
  <c r="P310" i="7"/>
  <c r="R301" i="7"/>
  <c r="R299" i="7" s="1"/>
  <c r="Q301" i="7"/>
  <c r="Q299" i="7" s="1"/>
  <c r="AA301" i="7"/>
  <c r="Z301" i="7"/>
  <c r="X301" i="7"/>
  <c r="X299" i="7" s="1"/>
  <c r="W301" i="7"/>
  <c r="V301" i="7"/>
  <c r="T301" i="7"/>
  <c r="S301" i="7"/>
  <c r="P301" i="7"/>
  <c r="P299" i="7" s="1"/>
  <c r="O301" i="7"/>
  <c r="L301" i="7"/>
  <c r="AA290" i="7"/>
  <c r="Z290" i="7"/>
  <c r="Y290" i="7"/>
  <c r="X290" i="7"/>
  <c r="W290" i="7"/>
  <c r="S290" i="7"/>
  <c r="P290" i="7"/>
  <c r="P288" i="7" s="1"/>
  <c r="O290" i="7"/>
  <c r="N290" i="7"/>
  <c r="L290" i="7"/>
  <c r="Q279" i="7"/>
  <c r="Q277" i="7" s="1"/>
  <c r="AA279" i="7"/>
  <c r="Z279" i="7"/>
  <c r="Y279" i="7"/>
  <c r="X279" i="7"/>
  <c r="X277" i="7" s="1"/>
  <c r="W279" i="7"/>
  <c r="T279" i="7"/>
  <c r="S279" i="7"/>
  <c r="R279" i="7"/>
  <c r="P279" i="7"/>
  <c r="O279" i="7"/>
  <c r="O277" i="7" s="1"/>
  <c r="N279" i="7"/>
  <c r="M279" i="7"/>
  <c r="L279" i="7"/>
  <c r="F29" i="9"/>
  <c r="Z312" i="7"/>
  <c r="Z310" i="7" s="1"/>
  <c r="V312" i="7"/>
  <c r="V310" i="7" s="1"/>
  <c r="R312" i="7"/>
  <c r="R310" i="7" s="1"/>
  <c r="N312" i="7"/>
  <c r="N310" i="7" s="1"/>
  <c r="AB312" i="7"/>
  <c r="AB310" i="7" s="1"/>
  <c r="Y312" i="7"/>
  <c r="Y310" i="7" s="1"/>
  <c r="U312" i="7"/>
  <c r="U310" i="7" s="1"/>
  <c r="Q312" i="7"/>
  <c r="Q310" i="7" s="1"/>
  <c r="M312" i="7"/>
  <c r="M310" i="7" s="1"/>
  <c r="Y301" i="7"/>
  <c r="Y299" i="7" s="1"/>
  <c r="U301" i="7"/>
  <c r="U299" i="7" s="1"/>
  <c r="M301" i="7"/>
  <c r="M299" i="7" s="1"/>
  <c r="N301" i="7"/>
  <c r="N299" i="7" s="1"/>
  <c r="V290" i="7"/>
  <c r="V288" i="7" s="1"/>
  <c r="AB290" i="7"/>
  <c r="AB288" i="7" s="1"/>
  <c r="U290" i="7"/>
  <c r="U288" i="7" s="1"/>
  <c r="Q290" i="7"/>
  <c r="Q288" i="7" s="1"/>
  <c r="M290" i="7"/>
  <c r="M288" i="7" s="1"/>
  <c r="U279" i="7"/>
  <c r="U277" i="7" s="1"/>
  <c r="V279" i="7"/>
  <c r="F38" i="9" l="1"/>
  <c r="K38" i="9"/>
  <c r="F72" i="9"/>
  <c r="R290" i="7"/>
  <c r="R288" i="7" s="1"/>
  <c r="T290" i="7"/>
  <c r="T288" i="7" s="1"/>
  <c r="N288" i="7"/>
  <c r="V299" i="7"/>
  <c r="N277" i="7"/>
  <c r="Z288" i="7"/>
  <c r="Z299" i="7"/>
  <c r="G53" i="9"/>
  <c r="E53" i="9" s="1"/>
  <c r="G70" i="9"/>
  <c r="E70" i="9" s="1"/>
  <c r="G36" i="9"/>
  <c r="E36" i="9" s="1"/>
  <c r="AB279" i="7"/>
  <c r="AB277" i="7" s="1"/>
  <c r="F46" i="9"/>
  <c r="F55" i="9" s="1"/>
  <c r="AB301" i="7"/>
  <c r="AB299" i="7" s="1"/>
  <c r="O299" i="7"/>
  <c r="K279" i="7"/>
  <c r="K277" i="7" s="1"/>
  <c r="Y277" i="7"/>
  <c r="AA277" i="7"/>
  <c r="S288" i="7"/>
  <c r="W310" i="7"/>
  <c r="S277" i="7"/>
  <c r="AA288" i="7"/>
  <c r="O310" i="7"/>
  <c r="M277" i="7"/>
  <c r="Y288" i="7"/>
  <c r="O288" i="7"/>
  <c r="W277" i="7"/>
  <c r="W288" i="7"/>
  <c r="S310" i="7"/>
  <c r="W299" i="7"/>
  <c r="S299" i="7"/>
  <c r="V277" i="7"/>
  <c r="AA299" i="7"/>
  <c r="AA310" i="7"/>
  <c r="L310" i="7"/>
  <c r="T310" i="7"/>
  <c r="T277" i="7"/>
  <c r="X288" i="7"/>
  <c r="T299" i="7"/>
  <c r="K290" i="7"/>
  <c r="K288" i="7" s="1"/>
  <c r="L277" i="7"/>
  <c r="L288" i="7"/>
  <c r="L299" i="7"/>
  <c r="K301" i="7"/>
  <c r="K299" i="7" s="1"/>
  <c r="K312" i="7"/>
  <c r="K310" i="7" s="1"/>
  <c r="R277" i="7"/>
  <c r="Z277" i="7"/>
  <c r="P277" i="7"/>
  <c r="N36" i="9" l="1"/>
  <c r="F21" i="9"/>
  <c r="N53" i="9"/>
  <c r="N70" i="9"/>
  <c r="G19" i="9"/>
  <c r="E19" i="9" s="1"/>
  <c r="N19" i="9" l="1"/>
  <c r="S87" i="7"/>
  <c r="S85" i="7" s="1"/>
  <c r="X87" i="7"/>
  <c r="X85" i="7" s="1"/>
  <c r="W87" i="7"/>
  <c r="V87" i="7"/>
  <c r="V85" i="7" s="1"/>
  <c r="T87" i="7"/>
  <c r="T85" i="7" s="1"/>
  <c r="AA87" i="7"/>
  <c r="Z87" i="7"/>
  <c r="Z85" i="7" s="1"/>
  <c r="U76" i="7"/>
  <c r="T76" i="7"/>
  <c r="AA76" i="7"/>
  <c r="Z76" i="7"/>
  <c r="X76" i="7"/>
  <c r="W76" i="7"/>
  <c r="S76" i="7"/>
  <c r="Y76" i="7"/>
  <c r="Y74" i="7" s="1"/>
  <c r="Y65" i="7"/>
  <c r="W65" i="7"/>
  <c r="T65" i="7"/>
  <c r="T63" i="7" s="1"/>
  <c r="AA65" i="7"/>
  <c r="Z65" i="7"/>
  <c r="Z63" i="7" s="1"/>
  <c r="U54" i="7"/>
  <c r="AA54" i="7"/>
  <c r="AA52" i="7" s="1"/>
  <c r="Z54" i="7"/>
  <c r="Y54" i="7"/>
  <c r="Y52" i="7" s="1"/>
  <c r="X54" i="7"/>
  <c r="V54" i="7"/>
  <c r="S54" i="7"/>
  <c r="S52" i="7" s="1"/>
  <c r="Y63" i="7" l="1"/>
  <c r="X74" i="7"/>
  <c r="X52" i="7"/>
  <c r="AA85" i="7"/>
  <c r="AA63" i="7"/>
  <c r="Z74" i="7"/>
  <c r="AA74" i="7"/>
  <c r="Z52" i="7"/>
  <c r="Y87" i="7"/>
  <c r="Y85" i="7" s="1"/>
  <c r="W63" i="7"/>
  <c r="W74" i="7"/>
  <c r="X65" i="7"/>
  <c r="V65" i="7"/>
  <c r="V63" i="7" s="1"/>
  <c r="V52" i="7"/>
  <c r="W85" i="7"/>
  <c r="W54" i="7"/>
  <c r="W52" i="7" s="1"/>
  <c r="V76" i="7"/>
  <c r="V74" i="7" s="1"/>
  <c r="U52" i="7"/>
  <c r="U74" i="7"/>
  <c r="U87" i="7"/>
  <c r="U85" i="7" s="1"/>
  <c r="U65" i="7"/>
  <c r="U63" i="7" s="1"/>
  <c r="T74" i="7"/>
  <c r="T54" i="7"/>
  <c r="T52" i="7" s="1"/>
  <c r="S65" i="7"/>
  <c r="S63" i="7" s="1"/>
  <c r="S74" i="7"/>
  <c r="X63" i="7" l="1"/>
  <c r="M72" i="9"/>
  <c r="L63" i="9"/>
  <c r="L72" i="9" s="1"/>
  <c r="J63" i="9"/>
  <c r="J72" i="9" s="1"/>
  <c r="I63" i="9"/>
  <c r="I72" i="9" s="1"/>
  <c r="M46" i="9"/>
  <c r="M55" i="9" s="1"/>
  <c r="L46" i="9"/>
  <c r="L55" i="9" s="1"/>
  <c r="J46" i="9"/>
  <c r="J55" i="9" s="1"/>
  <c r="I46" i="9"/>
  <c r="I55" i="9" s="1"/>
  <c r="X20" i="7"/>
  <c r="W20" i="7"/>
  <c r="O20" i="7"/>
  <c r="T42" i="7"/>
  <c r="T40" i="7" s="1"/>
  <c r="V20" i="7"/>
  <c r="M29" i="9"/>
  <c r="M38" i="9" s="1"/>
  <c r="L29" i="9"/>
  <c r="L38" i="9" s="1"/>
  <c r="J29" i="9"/>
  <c r="J38" i="9" s="1"/>
  <c r="I29" i="9"/>
  <c r="I38" i="9" s="1"/>
  <c r="W18" i="7" l="1"/>
  <c r="G64" i="9"/>
  <c r="H63" i="9"/>
  <c r="H72" i="9" s="1"/>
  <c r="G47" i="9"/>
  <c r="G30" i="9"/>
  <c r="E30" i="9" s="1"/>
  <c r="H38" i="9"/>
  <c r="L12" i="9"/>
  <c r="L21" i="9" s="1"/>
  <c r="AA42" i="7"/>
  <c r="AA40" i="7" s="1"/>
  <c r="P42" i="7"/>
  <c r="P40" i="7" s="1"/>
  <c r="X42" i="7"/>
  <c r="X40" i="7" s="1"/>
  <c r="X18" i="7"/>
  <c r="S20" i="7"/>
  <c r="S18" i="7" s="1"/>
  <c r="U31" i="7"/>
  <c r="U29" i="7" s="1"/>
  <c r="AA20" i="7"/>
  <c r="AA18" i="7" s="1"/>
  <c r="AA31" i="7"/>
  <c r="AA29" i="7" s="1"/>
  <c r="Y42" i="7"/>
  <c r="Y40" i="7" s="1"/>
  <c r="Z42" i="7"/>
  <c r="Z40" i="7" s="1"/>
  <c r="Z31" i="7"/>
  <c r="Z29" i="7" s="1"/>
  <c r="Y20" i="7"/>
  <c r="Y18" i="7" s="1"/>
  <c r="X31" i="7"/>
  <c r="X29" i="7" s="1"/>
  <c r="W31" i="7"/>
  <c r="W29" i="7" s="1"/>
  <c r="W42" i="7"/>
  <c r="W40" i="7" s="1"/>
  <c r="V42" i="7"/>
  <c r="V40" i="7" s="1"/>
  <c r="V18" i="7"/>
  <c r="U42" i="7"/>
  <c r="U40" i="7" s="1"/>
  <c r="U20" i="7"/>
  <c r="U18" i="7" s="1"/>
  <c r="S31" i="7"/>
  <c r="S29" i="7" s="1"/>
  <c r="S42" i="7"/>
  <c r="S40" i="7" s="1"/>
  <c r="R31" i="7"/>
  <c r="R29" i="7" s="1"/>
  <c r="Q42" i="7"/>
  <c r="Q40" i="7" s="1"/>
  <c r="R42" i="7"/>
  <c r="R40" i="7" s="1"/>
  <c r="Q20" i="7"/>
  <c r="Q18" i="7" s="1"/>
  <c r="O31" i="7"/>
  <c r="O29" i="7" s="1"/>
  <c r="N42" i="7"/>
  <c r="N40" i="7" s="1"/>
  <c r="O18" i="7"/>
  <c r="O42" i="7"/>
  <c r="O40" i="7" s="1"/>
  <c r="M42" i="7"/>
  <c r="M40" i="7" s="1"/>
  <c r="M20" i="7"/>
  <c r="M18" i="7" s="1"/>
  <c r="L31" i="7"/>
  <c r="L29" i="7" s="1"/>
  <c r="M31" i="7"/>
  <c r="M29" i="7" s="1"/>
  <c r="N20" i="7"/>
  <c r="N18" i="7" s="1"/>
  <c r="R20" i="7"/>
  <c r="R18" i="7" s="1"/>
  <c r="Z20" i="7"/>
  <c r="Z18" i="7" s="1"/>
  <c r="L20" i="7"/>
  <c r="L18" i="7" s="1"/>
  <c r="P20" i="7"/>
  <c r="P18" i="7" s="1"/>
  <c r="T20" i="7"/>
  <c r="T18" i="7" s="1"/>
  <c r="N31" i="7"/>
  <c r="N29" i="7" s="1"/>
  <c r="V31" i="7"/>
  <c r="V29" i="7" s="1"/>
  <c r="P31" i="7"/>
  <c r="P29" i="7" s="1"/>
  <c r="Q31" i="7"/>
  <c r="Q29" i="7" s="1"/>
  <c r="Y31" i="7"/>
  <c r="Y29" i="7" s="1"/>
  <c r="E47" i="9" l="1"/>
  <c r="N47" i="9" s="1"/>
  <c r="N46" i="9" s="1"/>
  <c r="G46" i="9"/>
  <c r="G55" i="9" s="1"/>
  <c r="E55" i="9" s="1"/>
  <c r="E64" i="9"/>
  <c r="N64" i="9" s="1"/>
  <c r="N63" i="9" s="1"/>
  <c r="G63" i="9"/>
  <c r="G72" i="9" s="1"/>
  <c r="E72" i="9" s="1"/>
  <c r="N30" i="9"/>
  <c r="N29" i="9" s="1"/>
  <c r="G29" i="9"/>
  <c r="G38" i="9" s="1"/>
  <c r="E38" i="9" s="1"/>
  <c r="L42" i="7"/>
  <c r="L40" i="7" s="1"/>
  <c r="K42" i="7" l="1"/>
  <c r="K40" i="7" s="1"/>
  <c r="K20" i="7" l="1"/>
  <c r="K18" i="7" s="1"/>
  <c r="K31" i="7"/>
  <c r="K29" i="7" s="1"/>
  <c r="M12" i="9" l="1"/>
  <c r="M21" i="9" s="1"/>
  <c r="AB87" i="7" l="1"/>
  <c r="AB85" i="7" s="1"/>
  <c r="AB42" i="7" l="1"/>
  <c r="AB40" i="7" s="1"/>
  <c r="J12" i="9" l="1"/>
  <c r="J21" i="9" s="1"/>
  <c r="I12" i="9" l="1"/>
  <c r="I21" i="9" s="1"/>
  <c r="AB65" i="7" l="1"/>
  <c r="AB20" i="7" l="1"/>
  <c r="AB76" i="7"/>
  <c r="AB74" i="7" s="1"/>
  <c r="AB31" i="7" l="1"/>
  <c r="AB29" i="7" s="1"/>
  <c r="AB54" i="7"/>
  <c r="AB52" i="7" s="1"/>
  <c r="G13" i="9" l="1"/>
  <c r="E13" i="9" s="1"/>
  <c r="H12" i="9"/>
  <c r="H21" i="9" s="1"/>
  <c r="N13" i="9" l="1"/>
  <c r="N12" i="9" s="1"/>
  <c r="G12" i="9"/>
  <c r="G21" i="9" s="1"/>
  <c r="E21" i="9" s="1"/>
  <c r="AB63" i="7"/>
  <c r="AB18" i="7" l="1"/>
  <c r="AB9" i="7" l="1"/>
  <c r="AB7" i="7" s="1"/>
  <c r="AA9" i="7"/>
  <c r="AA7" i="7" s="1"/>
  <c r="Y9" i="7"/>
  <c r="Y7" i="7" s="1"/>
  <c r="Q9" i="7"/>
  <c r="Q7" i="7" s="1"/>
  <c r="P9" i="7"/>
  <c r="P7" i="7" s="1"/>
  <c r="Z9" i="7"/>
  <c r="Z7" i="7" s="1"/>
  <c r="W9" i="7"/>
  <c r="W7" i="7" s="1"/>
  <c r="S9" i="7"/>
  <c r="S7" i="7" s="1"/>
  <c r="L9" i="7"/>
  <c r="L7" i="7" s="1"/>
  <c r="M9" i="7"/>
  <c r="M7" i="7" s="1"/>
  <c r="X9" i="7"/>
  <c r="X7" i="7" s="1"/>
  <c r="V9" i="7"/>
  <c r="V7" i="7" s="1"/>
  <c r="U9" i="7"/>
  <c r="U7" i="7" s="1"/>
  <c r="R9" i="7"/>
  <c r="R7" i="7" s="1"/>
  <c r="O9" i="7"/>
  <c r="O7" i="7" s="1"/>
  <c r="N9" i="7"/>
  <c r="N7" i="7" s="1"/>
  <c r="K9" i="7"/>
  <c r="K7" i="7" s="1"/>
  <c r="T31" i="7" l="1"/>
  <c r="T29" i="7" s="1"/>
  <c r="T9" i="7" l="1"/>
  <c r="T7" i="7" s="1"/>
</calcChain>
</file>

<file path=xl/sharedStrings.xml><?xml version="1.0" encoding="utf-8"?>
<sst xmlns="http://schemas.openxmlformats.org/spreadsheetml/2006/main" count="1045" uniqueCount="58">
  <si>
    <t>Financial corporations</t>
  </si>
  <si>
    <t>S13</t>
  </si>
  <si>
    <t>F4 Împrumuturi</t>
  </si>
  <si>
    <t>pasive</t>
  </si>
  <si>
    <t>total</t>
  </si>
  <si>
    <t>active</t>
  </si>
  <si>
    <t>F2 Numerar și depozite</t>
  </si>
  <si>
    <t>F3 Titluri de natura datoriei</t>
  </si>
  <si>
    <t>F5 Acțiuni și alte forme de participații</t>
  </si>
  <si>
    <t>S.1</t>
  </si>
  <si>
    <t>S.11</t>
  </si>
  <si>
    <t>S.12</t>
  </si>
  <si>
    <t>S.125</t>
  </si>
  <si>
    <t>S.128</t>
  </si>
  <si>
    <t>S.13</t>
  </si>
  <si>
    <t>S.2</t>
  </si>
  <si>
    <t>S.11 Societăți comerciale nefinanciare</t>
  </si>
  <si>
    <t>Restul lumii</t>
  </si>
  <si>
    <t>Societăți comerciale nefinanciare</t>
  </si>
  <si>
    <t>F5 Acțiuni și participații ale fondurilor de investiții</t>
  </si>
  <si>
    <t>Instituții financiare monetare</t>
  </si>
  <si>
    <t>S.121+S.122</t>
  </si>
  <si>
    <t>Alți intermediari financiari</t>
  </si>
  <si>
    <t>Societăți de asigurare</t>
  </si>
  <si>
    <t>Administrația publică</t>
  </si>
  <si>
    <t>S.14+S.15</t>
  </si>
  <si>
    <t>Gospodăriile populației</t>
  </si>
  <si>
    <t>milioane lei</t>
  </si>
  <si>
    <t>S.12 - Societăți financiare</t>
  </si>
  <si>
    <t>S.13 - Administrația publică</t>
  </si>
  <si>
    <t>Economia Națională</t>
  </si>
  <si>
    <t>S138</t>
  </si>
  <si>
    <t>S.14 +S.15 - Gospodăriile populației</t>
  </si>
  <si>
    <t>Selectati perioada</t>
  </si>
  <si>
    <t>perioada</t>
  </si>
  <si>
    <t>S.121+S.122 - Instituții financiare monetare</t>
  </si>
  <si>
    <t>S.125 - Alți intermediari financiari</t>
  </si>
  <si>
    <t>S.128 - Societăți de asigurare</t>
  </si>
  <si>
    <t>Notă: S.1 - Economia națională, S.11 - Societăți comerciale nefinanciare; S.12 - Societăți financiare; S.121+S.122 - Instituții financiare monetare; S.125 - Alți intermediari financiari; S.128 - Societăți de asigurare; S.13 - Administrația publică; S.14+S.15 - Gospodăriile populației; S.2 - Restul lumii.</t>
  </si>
  <si>
    <t>Conținut</t>
  </si>
  <si>
    <t>nota explicativă</t>
  </si>
  <si>
    <t>matricele</t>
  </si>
  <si>
    <t>seriile dinamice aferente activelor</t>
  </si>
  <si>
    <t>seriile dinamice aferente pasivelor</t>
  </si>
  <si>
    <t xml:space="preserve">Matricele de la cine către cine </t>
  </si>
  <si>
    <t>Ce reprezintă matricele „de la cine către cine”?</t>
  </si>
  <si>
    <t>Conturile financiare și bilanțurile sectoriale (CFBS), în prezentarea lor standard, furnizează informație privind activele și pasivele financiare ale sectoarelor economiei naționale, dezagregate pe instrumente financiare. Această prezentare a CFBS servește mai multor scopuri, cum prezentarea economice a sectoarelor economiei naționale și a instrumentelor utilizate, analiza fluxurilor de credite și depozite, precum și evaluarea valorii financiare nete a economiei naționale. Cu toate acestea, o astfel de prezentare nu este concepută pentru a dezvălui și a analiza detaliat relațiile dintre sectoarele instituționale, din perspectiva cine furnizează și cine utilizează fondurile (de exemplu valoarea creditelor acordate de către sectorul financiar, divizate pe debitori).</t>
  </si>
  <si>
    <t>Matricele CFBS „de la cine către cine” sunt prezentări statistice, în care pozițiile bilanțiere sau tranzacțiile financiare nete ale sectoarelor sunt prezentate în funcție de sectorul contrapartidei (de exemplu, creditorii și debitorii sunt prezentați pentru fiecare activ și pasiv).</t>
  </si>
  <si>
    <t>Dezvoltarea matricelor „de la cine către cine” contribuie la o mai bună înțelegere a modului de funcționare a economiei: cine pe cine finanțează și cine față de cine este expus, în ce sumă și prin ce instrument financiar. Prin urmare, identificarea relațiilor intersectoriale contribuie la analiza modului în care șocurile financiare s-ar putea propaga în întreaga economie sau pentru a evalua expunerile trans-sectoriale prin intermediul unui anumit instrument financiar.</t>
  </si>
  <si>
    <t>(pozițiile financiare)</t>
  </si>
  <si>
    <t>Matricea „de la cine către cine” conține pe orizontală pozițiile activelor sectoarelor economiei și pe verticală pozițiile aferente pasivelor sectoarelor economiei la finele perioadei analizate. Astfel relațiile între sectoare sunt reflectate la intersecțiile coloanelor și rândurilor respective.</t>
  </si>
  <si>
    <r>
      <t>Seriile dinamice aferente</t>
    </r>
    <r>
      <rPr>
        <b/>
        <sz val="22"/>
        <color rgb="FF374C4A"/>
        <rFont val="PermianSerifTypeface"/>
        <family val="3"/>
      </rPr>
      <t xml:space="preserve"> </t>
    </r>
    <r>
      <rPr>
        <b/>
        <sz val="24"/>
        <color rgb="FF374C4A"/>
        <rFont val="PermianSerifTypeface"/>
        <family val="3"/>
      </rPr>
      <t>stocurilor</t>
    </r>
    <r>
      <rPr>
        <b/>
        <sz val="20"/>
        <color rgb="FF374C4A"/>
        <rFont val="PermianSerifTypeface"/>
        <family val="3"/>
      </rPr>
      <t xml:space="preserve"> de pasive existente la finele perioadei de raportare</t>
    </r>
  </si>
  <si>
    <r>
      <t xml:space="preserve">Matricele </t>
    </r>
    <r>
      <rPr>
        <b/>
        <sz val="24"/>
        <color rgb="FF374C4A"/>
        <rFont val="PermianSansTypeface"/>
        <family val="3"/>
      </rPr>
      <t>stocurilor</t>
    </r>
    <r>
      <rPr>
        <b/>
        <sz val="20"/>
        <color rgb="FF374C4A"/>
        <rFont val="PermianSansTypeface"/>
        <family val="3"/>
      </rPr>
      <t xml:space="preserve"> financiare între sectoarele economiei naționale, precum și între sectoarele economiei naționale și restul lumii</t>
    </r>
  </si>
  <si>
    <t>Pozițiile financiare</t>
  </si>
  <si>
    <r>
      <t xml:space="preserve">Seriile dinamice aferente </t>
    </r>
    <r>
      <rPr>
        <b/>
        <sz val="24"/>
        <color rgb="FF374C4A"/>
        <rFont val="PermianSerifTypeface"/>
        <family val="3"/>
      </rPr>
      <t>stocurilor</t>
    </r>
    <r>
      <rPr>
        <b/>
        <sz val="20"/>
        <color rgb="FF374C4A"/>
        <rFont val="PermianSerifTypeface"/>
        <family val="3"/>
      </rPr>
      <t xml:space="preserve"> de active financiare deținute la finele perioadei de raportare</t>
    </r>
  </si>
  <si>
    <t xml:space="preserve"> decembrie 2015 - martie 2025</t>
  </si>
  <si>
    <t>Iulie 2025</t>
  </si>
  <si>
    <t>31 mart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</si>
</sst>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_-* #,##0.00\ _L_-;\-* #,##0.00\ _L_-;_-* &quot;-&quot;??\ _L_-;_-@_-"/>
    <numFmt numFmtId="166" formatCode="0.0"/>
    <numFmt numFmtId="167" formatCode="dd\ mmm\ yyyy"/>
  </numFmts>
  <fonts count="52" x14ac:knownFonts="1">
    <font>
      <sz val="11"/>
      <color theme="1"/>
      <name val="Aptos Narrow"/>
      <family val="2"/>
      <charset val="238"/>
      <scheme val="minor"/>
    </font>
    <font>
      <sz val="11"/>
      <color theme="1"/>
      <name val="Times New Roman"/>
      <family val="2"/>
    </font>
    <font>
      <sz val="11"/>
      <color theme="1"/>
      <name val="Aptos Narrow"/>
      <family val="2"/>
      <scheme val="minor"/>
    </font>
    <font>
      <b/>
      <sz val="16"/>
      <color theme="1"/>
      <name val="PermianSansTypeface"/>
      <family val="3"/>
    </font>
    <font>
      <sz val="11"/>
      <color theme="1"/>
      <name val="PermianSansTypeface"/>
      <family val="3"/>
    </font>
    <font>
      <sz val="9"/>
      <color theme="1"/>
      <name val="PermianSansTypeface"/>
      <family val="3"/>
    </font>
    <font>
      <b/>
      <sz val="16"/>
      <color rgb="FF374C4A"/>
      <name val="PermianSansTypeface"/>
      <family val="3"/>
    </font>
    <font>
      <sz val="11"/>
      <color rgb="FF374C4A"/>
      <name val="PermianSansTypeface"/>
      <family val="3"/>
    </font>
    <font>
      <sz val="14"/>
      <color rgb="FF374C4A"/>
      <name val="PermianSansTypeface"/>
      <family val="3"/>
    </font>
    <font>
      <b/>
      <sz val="14"/>
      <color rgb="FF374C4A"/>
      <name val="PermianSansTypeface"/>
      <family val="3"/>
    </font>
    <font>
      <sz val="12"/>
      <color rgb="FF374C4A"/>
      <name val="PermianSansTypeface"/>
      <family val="3"/>
    </font>
    <font>
      <b/>
      <sz val="12"/>
      <color rgb="FF374C4A"/>
      <name val="PermianSansTypeface"/>
      <family val="3"/>
    </font>
    <font>
      <i/>
      <sz val="11"/>
      <color rgb="FF374C4A"/>
      <name val="PermianSansTypeface"/>
      <family val="3"/>
    </font>
    <font>
      <b/>
      <sz val="18"/>
      <color rgb="FF374C4A"/>
      <name val="PermianSansTypeface"/>
      <family val="3"/>
    </font>
    <font>
      <b/>
      <sz val="16"/>
      <color rgb="FF754B42"/>
      <name val="PermianSansTypeface"/>
      <family val="3"/>
    </font>
    <font>
      <b/>
      <sz val="20"/>
      <color rgb="FF374C4A"/>
      <name val="PermianSansTypeface"/>
      <family val="3"/>
    </font>
    <font>
      <b/>
      <sz val="20"/>
      <color rgb="FF374C4A"/>
      <name val="PermianSerifTypeface"/>
      <family val="3"/>
    </font>
    <font>
      <b/>
      <u/>
      <sz val="11"/>
      <color rgb="FF754B42"/>
      <name val="PermianSerifTypeface"/>
      <family val="3"/>
    </font>
    <font>
      <sz val="11"/>
      <color rgb="FF374C4A"/>
      <name val="PermianSerifTypeface"/>
      <family val="3"/>
    </font>
    <font>
      <b/>
      <sz val="28"/>
      <color rgb="FF374C4A"/>
      <name val="PermianSerifTypeface"/>
      <family val="3"/>
    </font>
    <font>
      <b/>
      <sz val="12"/>
      <color rgb="FF374C4A"/>
      <name val="PermianSerifTypeface"/>
      <family val="3"/>
    </font>
    <font>
      <i/>
      <u/>
      <sz val="11"/>
      <color rgb="FF374C4A"/>
      <name val="PermianSerifTypeface"/>
      <family val="3"/>
    </font>
    <font>
      <b/>
      <sz val="11"/>
      <color rgb="FF374C4A"/>
      <name val="PermianSerifTypeface"/>
      <family val="3"/>
    </font>
    <font>
      <b/>
      <sz val="16"/>
      <color rgb="FF374C4A"/>
      <name val="PermianSerifTypeface"/>
      <family val="3"/>
    </font>
    <font>
      <b/>
      <i/>
      <sz val="13"/>
      <color rgb="FF374C4A"/>
      <name val="PermianSerifTypeface"/>
      <family val="3"/>
    </font>
    <font>
      <b/>
      <sz val="10"/>
      <color rgb="FF374C4A"/>
      <name val="PermianSerifTypeface"/>
      <family val="3"/>
    </font>
    <font>
      <sz val="10"/>
      <color rgb="FF374C4A"/>
      <name val="PermianSerifTypeface"/>
      <family val="3"/>
    </font>
    <font>
      <i/>
      <sz val="11"/>
      <color rgb="FF374C4A"/>
      <name val="PermianSerifTypeface"/>
      <family val="3"/>
    </font>
    <font>
      <i/>
      <sz val="9"/>
      <color rgb="FF374C4A"/>
      <name val="PermianSerifTypeface"/>
      <family val="3"/>
    </font>
    <font>
      <b/>
      <sz val="16"/>
      <color rgb="FFA97D5E"/>
      <name val="PermianSerifTypeface"/>
      <family val="3"/>
    </font>
    <font>
      <sz val="8"/>
      <color rgb="FFEFEFE9"/>
      <name val="PermianSerifTypeface"/>
      <family val="3"/>
    </font>
    <font>
      <i/>
      <u/>
      <sz val="11"/>
      <color rgb="FFEFEFE9"/>
      <name val="PermianSerifTypeface"/>
      <family val="3"/>
    </font>
    <font>
      <sz val="11"/>
      <color rgb="FFEFEFE9"/>
      <name val="PermianSerifTypeface"/>
      <family val="3"/>
    </font>
    <font>
      <sz val="11"/>
      <color theme="1"/>
      <name val="PermianSerifTypeface"/>
      <family val="3"/>
    </font>
    <font>
      <sz val="10"/>
      <color theme="1"/>
      <name val="PermianSerifTypeface"/>
      <family val="3"/>
    </font>
    <font>
      <b/>
      <sz val="22"/>
      <color rgb="FF374C4A"/>
      <name val="PermianSerifTypeface"/>
      <family val="3"/>
    </font>
    <font>
      <b/>
      <sz val="16"/>
      <color rgb="FF93AB9D"/>
      <name val="PermianSerifTypeface"/>
      <family val="3"/>
    </font>
    <font>
      <u/>
      <sz val="11"/>
      <color theme="10"/>
      <name val="Aptos Narrow"/>
      <family val="2"/>
      <charset val="238"/>
      <scheme val="minor"/>
    </font>
    <font>
      <b/>
      <sz val="14"/>
      <color rgb="FF754B42"/>
      <name val="PermianSerifTypeface"/>
      <family val="3"/>
    </font>
    <font>
      <i/>
      <sz val="12"/>
      <color theme="1"/>
      <name val="PermianSerifTypeface"/>
      <family val="3"/>
      <charset val="238"/>
    </font>
    <font>
      <sz val="11"/>
      <color rgb="FF374C4A"/>
      <name val="Aptos Narrow"/>
      <family val="2"/>
      <charset val="238"/>
      <scheme val="minor"/>
    </font>
    <font>
      <sz val="14"/>
      <color rgb="FF374C4A"/>
      <name val="PermianSerifTypeface"/>
      <family val="3"/>
    </font>
    <font>
      <i/>
      <sz val="12"/>
      <color rgb="FFFF0000"/>
      <name val="PermianSansTypeface"/>
      <family val="3"/>
    </font>
    <font>
      <i/>
      <sz val="12"/>
      <color theme="0"/>
      <name val="PermianSansTypeface"/>
      <family val="3"/>
    </font>
    <font>
      <i/>
      <u/>
      <sz val="12"/>
      <color rgb="FFA97D5E"/>
      <name val="Aptos Narrow"/>
      <family val="2"/>
      <scheme val="minor"/>
    </font>
    <font>
      <i/>
      <u/>
      <sz val="11"/>
      <color rgb="FFA97D5E"/>
      <name val="Aptos Narrow"/>
      <family val="2"/>
      <scheme val="minor"/>
    </font>
    <font>
      <b/>
      <sz val="16"/>
      <color rgb="FF754B42"/>
      <name val="PermianSerifTypeface"/>
      <family val="3"/>
    </font>
    <font>
      <sz val="8"/>
      <name val="Aptos Narrow"/>
      <family val="2"/>
      <charset val="238"/>
      <scheme val="minor"/>
    </font>
    <font>
      <b/>
      <sz val="24"/>
      <color rgb="FF374C4A"/>
      <name val="PermianSerifTypeface"/>
      <family val="3"/>
    </font>
    <font>
      <b/>
      <sz val="24"/>
      <color rgb="FF374C4A"/>
      <name val="PermianSansTypeface"/>
      <family val="3"/>
    </font>
    <font>
      <sz val="11"/>
      <color rgb="FFFF0000"/>
      <name val="PermianSerifTypeface"/>
      <family val="3"/>
    </font>
    <font>
      <sz val="8"/>
      <color rgb="FF374C4A"/>
      <name val="PermianSerifTypeface"/>
      <family val="3"/>
    </font>
  </fonts>
  <fills count="7">
    <fill>
      <patternFill patternType="none"/>
    </fill>
    <fill>
      <patternFill patternType="gray125"/>
    </fill>
    <fill>
      <patternFill patternType="solid">
        <fgColor rgb="FFEFEFE9"/>
        <bgColor indexed="64"/>
      </patternFill>
    </fill>
    <fill>
      <patternFill patternType="solid">
        <fgColor rgb="FFC2B3A3"/>
        <bgColor indexed="64"/>
      </patternFill>
    </fill>
    <fill>
      <patternFill patternType="solid">
        <fgColor rgb="FFE7E7DD"/>
        <bgColor indexed="64"/>
      </patternFill>
    </fill>
    <fill>
      <patternFill patternType="solid">
        <fgColor rgb="FF93AB9D"/>
        <bgColor indexed="64"/>
      </patternFill>
    </fill>
    <fill>
      <patternFill patternType="solid">
        <fgColor rgb="FF93AB9D"/>
        <bgColor rgb="FF93AB9D"/>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523D35"/>
      </left>
      <right/>
      <top style="thin">
        <color rgb="FF523D35"/>
      </top>
      <bottom/>
      <diagonal/>
    </border>
    <border>
      <left/>
      <right/>
      <top style="thin">
        <color rgb="FF523D35"/>
      </top>
      <bottom/>
      <diagonal/>
    </border>
    <border>
      <left/>
      <right style="thin">
        <color rgb="FF523D35"/>
      </right>
      <top style="thin">
        <color rgb="FF523D35"/>
      </top>
      <bottom/>
      <diagonal/>
    </border>
    <border>
      <left style="thin">
        <color rgb="FF523D35"/>
      </left>
      <right/>
      <top/>
      <bottom/>
      <diagonal/>
    </border>
    <border>
      <left/>
      <right style="thin">
        <color rgb="FF523D35"/>
      </right>
      <top/>
      <bottom/>
      <diagonal/>
    </border>
    <border>
      <left style="thin">
        <color rgb="FF523D35"/>
      </left>
      <right/>
      <top/>
      <bottom style="thin">
        <color rgb="FF523D35"/>
      </bottom>
      <diagonal/>
    </border>
    <border>
      <left/>
      <right/>
      <top/>
      <bottom style="thin">
        <color rgb="FF523D35"/>
      </bottom>
      <diagonal/>
    </border>
    <border>
      <left/>
      <right style="thin">
        <color rgb="FF523D35"/>
      </right>
      <top/>
      <bottom style="thin">
        <color rgb="FF523D35"/>
      </bottom>
      <diagonal/>
    </border>
    <border>
      <left style="thin">
        <color rgb="FFC2B3A3"/>
      </left>
      <right style="thin">
        <color rgb="FFC2B3A3"/>
      </right>
      <top style="thin">
        <color rgb="FFC2B3A3"/>
      </top>
      <bottom style="thin">
        <color rgb="FFC2B3A3"/>
      </bottom>
      <diagonal/>
    </border>
    <border diagonalDown="1">
      <left style="thin">
        <color rgb="FFC2B3A3"/>
      </left>
      <right/>
      <top style="thin">
        <color rgb="FFC2B3A3"/>
      </top>
      <bottom/>
      <diagonal style="thin">
        <color theme="2" tint="-0.24994659260841701"/>
      </diagonal>
    </border>
    <border>
      <left/>
      <right style="thin">
        <color rgb="FFC2B3A3"/>
      </right>
      <top style="thin">
        <color rgb="FFC2B3A3"/>
      </top>
      <bottom/>
      <diagonal/>
    </border>
    <border>
      <left style="thin">
        <color rgb="FFC2B3A3"/>
      </left>
      <right/>
      <top/>
      <bottom style="thin">
        <color rgb="FFC2B3A3"/>
      </bottom>
      <diagonal/>
    </border>
    <border diagonalDown="1">
      <left/>
      <right style="thin">
        <color rgb="FFC2B3A3"/>
      </right>
      <top/>
      <bottom style="thin">
        <color rgb="FFC2B3A3"/>
      </bottom>
      <diagonal style="thin">
        <color theme="2" tint="-0.24994659260841701"/>
      </diagonal>
    </border>
    <border>
      <left style="thin">
        <color rgb="FFC2B3A3"/>
      </left>
      <right style="thin">
        <color rgb="FFC2B3A3"/>
      </right>
      <top style="thin">
        <color rgb="FFC2B3A3"/>
      </top>
      <bottom/>
      <diagonal/>
    </border>
    <border>
      <left style="thin">
        <color rgb="FFC2B3A3"/>
      </left>
      <right style="thin">
        <color rgb="FFC2B3A3"/>
      </right>
      <top/>
      <bottom style="thin">
        <color rgb="FFC2B3A3"/>
      </bottom>
      <diagonal/>
    </border>
    <border>
      <left style="thin">
        <color rgb="FF754B42"/>
      </left>
      <right/>
      <top style="thin">
        <color rgb="FF754B42"/>
      </top>
      <bottom/>
      <diagonal/>
    </border>
    <border>
      <left/>
      <right/>
      <top style="thin">
        <color rgb="FF754B42"/>
      </top>
      <bottom/>
      <diagonal/>
    </border>
    <border>
      <left/>
      <right style="thin">
        <color rgb="FF754B42"/>
      </right>
      <top style="thin">
        <color rgb="FF754B42"/>
      </top>
      <bottom/>
      <diagonal/>
    </border>
    <border>
      <left style="thin">
        <color rgb="FF754B42"/>
      </left>
      <right/>
      <top/>
      <bottom/>
      <diagonal/>
    </border>
    <border>
      <left/>
      <right style="thin">
        <color rgb="FF754B42"/>
      </right>
      <top/>
      <bottom/>
      <diagonal/>
    </border>
    <border>
      <left style="thin">
        <color rgb="FF754B42"/>
      </left>
      <right/>
      <top/>
      <bottom style="thin">
        <color rgb="FF754B42"/>
      </bottom>
      <diagonal/>
    </border>
    <border>
      <left/>
      <right/>
      <top/>
      <bottom style="thin">
        <color rgb="FF754B42"/>
      </bottom>
      <diagonal/>
    </border>
    <border>
      <left/>
      <right style="thin">
        <color rgb="FF754B42"/>
      </right>
      <top/>
      <bottom style="thin">
        <color rgb="FF754B42"/>
      </bottom>
      <diagonal/>
    </border>
    <border>
      <left style="medium">
        <color rgb="FFB8C8BE"/>
      </left>
      <right style="medium">
        <color rgb="FF70907C"/>
      </right>
      <top style="medium">
        <color rgb="FFB8C8BE"/>
      </top>
      <bottom style="medium">
        <color rgb="FF70907C"/>
      </bottom>
      <diagonal/>
    </border>
    <border>
      <left/>
      <right style="medium">
        <color rgb="FFB8C8BE"/>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xf numFmtId="165" fontId="2" fillId="0" borderId="0" applyFont="0" applyFill="0" applyBorder="0" applyAlignment="0" applyProtection="0"/>
    <xf numFmtId="0" fontId="37" fillId="0" borderId="0" applyNumberFormat="0" applyFill="0" applyBorder="0" applyAlignment="0" applyProtection="0"/>
  </cellStyleXfs>
  <cellXfs count="112">
    <xf numFmtId="0" fontId="0" fillId="0" borderId="0" xfId="0"/>
    <xf numFmtId="0" fontId="4" fillId="2" borderId="0" xfId="2" applyFont="1" applyFill="1"/>
    <xf numFmtId="0" fontId="3" fillId="2" borderId="0" xfId="2" applyFont="1" applyFill="1" applyAlignment="1">
      <alignment horizontal="center"/>
    </xf>
    <xf numFmtId="2" fontId="5" fillId="2" borderId="0" xfId="3" applyNumberFormat="1" applyFont="1" applyFill="1" applyBorder="1" applyAlignment="1">
      <alignment horizontal="right" vertical="center"/>
    </xf>
    <xf numFmtId="2" fontId="5" fillId="2" borderId="0" xfId="2" applyNumberFormat="1" applyFont="1" applyFill="1" applyAlignment="1">
      <alignment horizontal="right" vertical="top" wrapText="1"/>
    </xf>
    <xf numFmtId="0" fontId="7" fillId="2" borderId="14" xfId="2" applyFont="1" applyFill="1" applyBorder="1"/>
    <xf numFmtId="0" fontId="8" fillId="2" borderId="15" xfId="2" applyFont="1" applyFill="1" applyBorder="1"/>
    <xf numFmtId="0" fontId="8" fillId="2" borderId="16" xfId="2" applyFont="1" applyFill="1" applyBorder="1" applyAlignment="1">
      <alignment horizontal="left" indent="1"/>
    </xf>
    <xf numFmtId="0" fontId="8" fillId="2" borderId="17" xfId="2" applyFont="1" applyFill="1" applyBorder="1"/>
    <xf numFmtId="164" fontId="10" fillId="3" borderId="13" xfId="2" applyNumberFormat="1" applyFont="1" applyFill="1" applyBorder="1" applyAlignment="1">
      <alignment horizontal="right" indent="1"/>
    </xf>
    <xf numFmtId="164" fontId="10" fillId="2" borderId="13" xfId="2" applyNumberFormat="1" applyFont="1" applyFill="1" applyBorder="1" applyAlignment="1">
      <alignment horizontal="right" vertical="center" indent="1"/>
    </xf>
    <xf numFmtId="164" fontId="11" fillId="2" borderId="13" xfId="2" applyNumberFormat="1" applyFont="1" applyFill="1" applyBorder="1" applyAlignment="1">
      <alignment horizontal="right" vertical="center" indent="1"/>
    </xf>
    <xf numFmtId="164" fontId="11" fillId="3" borderId="13" xfId="2" applyNumberFormat="1" applyFont="1" applyFill="1" applyBorder="1" applyAlignment="1">
      <alignment horizontal="right" indent="1"/>
    </xf>
    <xf numFmtId="0" fontId="4" fillId="2" borderId="5" xfId="2" applyFont="1" applyFill="1" applyBorder="1"/>
    <xf numFmtId="0" fontId="4" fillId="2" borderId="6" xfId="2" applyFont="1" applyFill="1" applyBorder="1"/>
    <xf numFmtId="0" fontId="4" fillId="2" borderId="7" xfId="2" applyFont="1" applyFill="1" applyBorder="1"/>
    <xf numFmtId="0" fontId="4" fillId="2" borderId="8" xfId="2" applyFont="1" applyFill="1" applyBorder="1"/>
    <xf numFmtId="0" fontId="13" fillId="2" borderId="9" xfId="2" applyFont="1" applyFill="1" applyBorder="1" applyAlignment="1">
      <alignment horizontal="left" vertical="top" wrapText="1"/>
    </xf>
    <xf numFmtId="0" fontId="14" fillId="2" borderId="0" xfId="2" applyFont="1" applyFill="1"/>
    <xf numFmtId="0" fontId="4" fillId="2" borderId="9" xfId="2" applyFont="1" applyFill="1" applyBorder="1"/>
    <xf numFmtId="0" fontId="7" fillId="2" borderId="0" xfId="2" applyFont="1" applyFill="1"/>
    <xf numFmtId="0" fontId="7" fillId="2" borderId="9" xfId="2" applyFont="1" applyFill="1" applyBorder="1"/>
    <xf numFmtId="0" fontId="12" fillId="2" borderId="0" xfId="2" applyFont="1" applyFill="1" applyAlignment="1">
      <alignment horizontal="left" vertical="center" wrapText="1"/>
    </xf>
    <xf numFmtId="0" fontId="12" fillId="2" borderId="9" xfId="2" applyFont="1" applyFill="1" applyBorder="1" applyAlignment="1">
      <alignment horizontal="left" vertical="center" wrapText="1"/>
    </xf>
    <xf numFmtId="0" fontId="6" fillId="2" borderId="0" xfId="2" applyFont="1" applyFill="1"/>
    <xf numFmtId="0" fontId="9" fillId="2" borderId="9" xfId="2" applyFont="1" applyFill="1" applyBorder="1" applyAlignment="1">
      <alignment horizontal="center" vertical="center"/>
    </xf>
    <xf numFmtId="164" fontId="11" fillId="2" borderId="9" xfId="2" applyNumberFormat="1" applyFont="1" applyFill="1" applyBorder="1" applyAlignment="1">
      <alignment horizontal="right" vertical="center" indent="1"/>
    </xf>
    <xf numFmtId="166" fontId="4" fillId="2" borderId="0" xfId="2" applyNumberFormat="1" applyFont="1" applyFill="1"/>
    <xf numFmtId="0" fontId="4" fillId="2" borderId="10" xfId="2" applyFont="1" applyFill="1" applyBorder="1"/>
    <xf numFmtId="0" fontId="4" fillId="2" borderId="11" xfId="2" applyFont="1" applyFill="1" applyBorder="1"/>
    <xf numFmtId="0" fontId="4" fillId="2" borderId="12" xfId="2" applyFont="1" applyFill="1" applyBorder="1"/>
    <xf numFmtId="164" fontId="11" fillId="2" borderId="9" xfId="2" applyNumberFormat="1" applyFont="1" applyFill="1" applyBorder="1" applyAlignment="1">
      <alignment horizontal="right" indent="1"/>
    </xf>
    <xf numFmtId="164" fontId="10" fillId="4" borderId="13" xfId="2" applyNumberFormat="1" applyFont="1" applyFill="1" applyBorder="1" applyAlignment="1">
      <alignment horizontal="right" vertical="center" indent="1"/>
    </xf>
    <xf numFmtId="164" fontId="11" fillId="4" borderId="13" xfId="2" applyNumberFormat="1" applyFont="1" applyFill="1" applyBorder="1" applyAlignment="1">
      <alignment horizontal="right" vertical="center" indent="1"/>
    </xf>
    <xf numFmtId="3" fontId="17" fillId="2" borderId="0" xfId="1" applyNumberFormat="1" applyFont="1" applyFill="1" applyAlignment="1">
      <alignment vertical="center"/>
    </xf>
    <xf numFmtId="0" fontId="18" fillId="2" borderId="0" xfId="0" applyFont="1" applyFill="1"/>
    <xf numFmtId="0" fontId="19" fillId="2" borderId="0" xfId="0" applyFont="1" applyFill="1" applyAlignment="1">
      <alignment vertical="center"/>
    </xf>
    <xf numFmtId="0" fontId="20" fillId="2" borderId="1" xfId="0" applyFont="1" applyFill="1" applyBorder="1" applyAlignment="1">
      <alignment horizontal="centerContinuous" vertical="center"/>
    </xf>
    <xf numFmtId="0" fontId="19" fillId="2" borderId="2" xfId="0"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3" fontId="21" fillId="2" borderId="0" xfId="1" applyNumberFormat="1" applyFont="1" applyFill="1" applyAlignment="1">
      <alignment vertical="center"/>
    </xf>
    <xf numFmtId="0" fontId="23" fillId="2" borderId="0" xfId="0" applyFont="1" applyFill="1" applyAlignment="1">
      <alignment horizontal="left"/>
    </xf>
    <xf numFmtId="0" fontId="18" fillId="2" borderId="0" xfId="0" applyFont="1" applyFill="1" applyAlignment="1">
      <alignment horizontal="center"/>
    </xf>
    <xf numFmtId="0" fontId="24" fillId="2" borderId="0" xfId="0" applyFont="1" applyFill="1" applyAlignment="1">
      <alignment horizontal="left"/>
    </xf>
    <xf numFmtId="0" fontId="20" fillId="2" borderId="4" xfId="0" applyFont="1" applyFill="1" applyBorder="1" applyAlignment="1">
      <alignment horizontal="left"/>
    </xf>
    <xf numFmtId="0" fontId="18" fillId="2" borderId="0" xfId="0" applyFont="1" applyFill="1" applyAlignment="1">
      <alignment horizontal="left" indent="1"/>
    </xf>
    <xf numFmtId="0" fontId="27" fillId="2" borderId="0" xfId="0" applyFont="1" applyFill="1" applyAlignment="1">
      <alignment horizontal="left" indent="2"/>
    </xf>
    <xf numFmtId="0" fontId="16" fillId="2" borderId="0" xfId="2" applyFont="1" applyFill="1" applyAlignment="1">
      <alignment vertical="center"/>
    </xf>
    <xf numFmtId="0" fontId="20" fillId="2" borderId="0" xfId="0" applyFont="1" applyFill="1" applyAlignment="1">
      <alignment horizontal="left"/>
    </xf>
    <xf numFmtId="0" fontId="29" fillId="2" borderId="0" xfId="0" applyFont="1" applyFill="1" applyAlignment="1">
      <alignment horizontal="left"/>
    </xf>
    <xf numFmtId="164" fontId="25" fillId="2" borderId="0" xfId="0" applyNumberFormat="1" applyFont="1" applyFill="1" applyAlignment="1">
      <alignment horizontal="center"/>
    </xf>
    <xf numFmtId="164" fontId="25" fillId="2" borderId="4" xfId="0" applyNumberFormat="1" applyFont="1" applyFill="1" applyBorder="1" applyAlignment="1">
      <alignment horizontal="center"/>
    </xf>
    <xf numFmtId="164" fontId="26" fillId="5" borderId="0" xfId="0" applyNumberFormat="1" applyFont="1" applyFill="1" applyAlignment="1">
      <alignment horizontal="center"/>
    </xf>
    <xf numFmtId="164" fontId="26" fillId="2" borderId="0" xfId="0" applyNumberFormat="1" applyFont="1" applyFill="1" applyAlignment="1">
      <alignment horizontal="center"/>
    </xf>
    <xf numFmtId="164" fontId="28" fillId="2" borderId="0" xfId="0" applyNumberFormat="1" applyFont="1" applyFill="1" applyAlignment="1">
      <alignment horizontal="center"/>
    </xf>
    <xf numFmtId="164" fontId="18" fillId="2" borderId="0" xfId="0" applyNumberFormat="1" applyFont="1" applyFill="1" applyAlignment="1">
      <alignment horizontal="center"/>
    </xf>
    <xf numFmtId="0" fontId="30" fillId="2" borderId="0" xfId="0" applyFont="1" applyFill="1"/>
    <xf numFmtId="164" fontId="28" fillId="5" borderId="0" xfId="0" applyNumberFormat="1" applyFont="1" applyFill="1" applyAlignment="1">
      <alignment horizontal="center"/>
    </xf>
    <xf numFmtId="3" fontId="31" fillId="2" borderId="0" xfId="1" applyNumberFormat="1" applyFont="1" applyFill="1" applyAlignment="1">
      <alignment vertical="center"/>
    </xf>
    <xf numFmtId="0" fontId="32" fillId="2" borderId="0" xfId="0" applyFont="1" applyFill="1"/>
    <xf numFmtId="49" fontId="34" fillId="2" borderId="0" xfId="0" applyNumberFormat="1" applyFont="1" applyFill="1"/>
    <xf numFmtId="0" fontId="33" fillId="2" borderId="0" xfId="0" applyFont="1" applyFill="1"/>
    <xf numFmtId="0" fontId="33" fillId="2" borderId="5" xfId="0" applyFont="1" applyFill="1" applyBorder="1"/>
    <xf numFmtId="0" fontId="33" fillId="2" borderId="6" xfId="0" applyFont="1" applyFill="1" applyBorder="1"/>
    <xf numFmtId="49" fontId="33" fillId="2" borderId="6" xfId="0" applyNumberFormat="1" applyFont="1" applyFill="1" applyBorder="1"/>
    <xf numFmtId="0" fontId="33" fillId="2" borderId="7" xfId="0" applyFont="1" applyFill="1" applyBorder="1"/>
    <xf numFmtId="0" fontId="33" fillId="2" borderId="8" xfId="0" applyFont="1" applyFill="1" applyBorder="1"/>
    <xf numFmtId="0" fontId="33" fillId="2" borderId="9" xfId="0" applyFont="1" applyFill="1" applyBorder="1"/>
    <xf numFmtId="0" fontId="33" fillId="2" borderId="10" xfId="0" applyFont="1" applyFill="1" applyBorder="1"/>
    <xf numFmtId="0" fontId="33" fillId="2" borderId="11" xfId="0" applyFont="1" applyFill="1" applyBorder="1"/>
    <xf numFmtId="0" fontId="33" fillId="2" borderId="12" xfId="0" applyFont="1" applyFill="1" applyBorder="1"/>
    <xf numFmtId="0" fontId="35" fillId="2" borderId="0" xfId="0" applyFont="1" applyFill="1"/>
    <xf numFmtId="0" fontId="36" fillId="2" borderId="0" xfId="0" applyFont="1" applyFill="1"/>
    <xf numFmtId="0" fontId="38" fillId="2" borderId="0" xfId="0" applyFont="1" applyFill="1"/>
    <xf numFmtId="0" fontId="39" fillId="2" borderId="0" xfId="0" applyFont="1" applyFill="1"/>
    <xf numFmtId="0" fontId="16" fillId="2" borderId="0" xfId="0" applyFont="1" applyFill="1"/>
    <xf numFmtId="0" fontId="40" fillId="2" borderId="0" xfId="0" applyFont="1" applyFill="1"/>
    <xf numFmtId="0" fontId="40" fillId="2" borderId="20" xfId="0" applyFont="1" applyFill="1" applyBorder="1"/>
    <xf numFmtId="0" fontId="40" fillId="2" borderId="21" xfId="0" applyFont="1" applyFill="1" applyBorder="1"/>
    <xf numFmtId="0" fontId="40" fillId="2" borderId="23" xfId="0" applyFont="1" applyFill="1" applyBorder="1"/>
    <xf numFmtId="0" fontId="40" fillId="2" borderId="24" xfId="0" applyFont="1" applyFill="1" applyBorder="1"/>
    <xf numFmtId="0" fontId="41" fillId="2" borderId="0" xfId="0" applyFont="1" applyFill="1" applyAlignment="1">
      <alignment vertical="center" wrapText="1"/>
    </xf>
    <xf numFmtId="0" fontId="40" fillId="2" borderId="25" xfId="0" applyFont="1" applyFill="1" applyBorder="1"/>
    <xf numFmtId="0" fontId="40" fillId="2" borderId="26" xfId="0" applyFont="1" applyFill="1" applyBorder="1"/>
    <xf numFmtId="0" fontId="40" fillId="2" borderId="27" xfId="0" applyFont="1" applyFill="1" applyBorder="1"/>
    <xf numFmtId="0" fontId="44" fillId="2" borderId="0" xfId="4" applyFont="1" applyFill="1"/>
    <xf numFmtId="0" fontId="45" fillId="2" borderId="0" xfId="4" applyFont="1" applyFill="1"/>
    <xf numFmtId="0" fontId="33" fillId="2" borderId="0" xfId="0" applyFont="1" applyFill="1" applyAlignment="1">
      <alignment vertical="center"/>
    </xf>
    <xf numFmtId="0" fontId="46" fillId="2" borderId="0" xfId="0" applyFont="1" applyFill="1"/>
    <xf numFmtId="16" fontId="22" fillId="2" borderId="2" xfId="0" applyNumberFormat="1" applyFont="1" applyFill="1" applyBorder="1" applyAlignment="1">
      <alignment horizontal="center" vertical="center"/>
    </xf>
    <xf numFmtId="16" fontId="22" fillId="2" borderId="1" xfId="0" applyNumberFormat="1" applyFont="1" applyFill="1" applyBorder="1" applyAlignment="1">
      <alignment horizontal="center" vertical="center"/>
    </xf>
    <xf numFmtId="167" fontId="31" fillId="2" borderId="0" xfId="1" applyNumberFormat="1" applyFont="1" applyFill="1" applyAlignment="1">
      <alignment vertical="center"/>
    </xf>
    <xf numFmtId="167" fontId="21" fillId="2" borderId="0" xfId="1" applyNumberFormat="1" applyFont="1" applyFill="1" applyAlignment="1">
      <alignment vertical="center"/>
    </xf>
    <xf numFmtId="167" fontId="43" fillId="6" borderId="28" xfId="2" applyNumberFormat="1" applyFont="1" applyFill="1" applyBorder="1" applyAlignment="1">
      <alignment horizontal="right" vertical="center"/>
    </xf>
    <xf numFmtId="16" fontId="22" fillId="2" borderId="30" xfId="0" applyNumberFormat="1" applyFont="1" applyFill="1" applyBorder="1" applyAlignment="1">
      <alignment horizontal="center" vertical="center"/>
    </xf>
    <xf numFmtId="0" fontId="40" fillId="2" borderId="22" xfId="0" applyFont="1" applyFill="1" applyBorder="1" applyAlignment="1">
      <alignment horizontal="right"/>
    </xf>
    <xf numFmtId="0" fontId="41" fillId="2" borderId="0" xfId="0" applyFont="1" applyFill="1" applyAlignment="1">
      <alignment horizontal="right"/>
    </xf>
    <xf numFmtId="0" fontId="51" fillId="2" borderId="0" xfId="0" applyFont="1" applyFill="1"/>
    <xf numFmtId="164" fontId="50" fillId="2" borderId="0" xfId="0" applyNumberFormat="1" applyFont="1" applyFill="1" applyAlignment="1">
      <alignment horizontal="center"/>
    </xf>
    <xf numFmtId="0" fontId="50" fillId="2" borderId="0" xfId="0" applyFont="1" applyFill="1" applyAlignment="1">
      <alignment horizontal="center"/>
    </xf>
    <xf numFmtId="49" fontId="21" fillId="2" borderId="0" xfId="1" applyNumberFormat="1" applyFont="1" applyFill="1" applyAlignment="1">
      <alignment vertical="center"/>
    </xf>
    <xf numFmtId="49" fontId="31" fillId="2" borderId="0" xfId="1" applyNumberFormat="1" applyFont="1" applyFill="1" applyAlignment="1">
      <alignment vertical="center"/>
    </xf>
    <xf numFmtId="0" fontId="8" fillId="2" borderId="13" xfId="2" applyFont="1" applyFill="1" applyBorder="1" applyAlignment="1">
      <alignment horizontal="center" vertical="center"/>
    </xf>
    <xf numFmtId="0" fontId="15" fillId="2" borderId="0" xfId="2" applyFont="1" applyFill="1" applyAlignment="1">
      <alignment horizontal="left" vertical="top" wrapText="1"/>
    </xf>
    <xf numFmtId="0" fontId="12" fillId="2" borderId="0" xfId="2" applyFont="1" applyFill="1" applyAlignment="1">
      <alignment horizontal="left" vertical="center" wrapText="1"/>
    </xf>
    <xf numFmtId="0" fontId="8" fillId="4" borderId="13" xfId="2" applyFont="1" applyFill="1" applyBorder="1" applyAlignment="1">
      <alignment horizontal="center" vertical="center"/>
    </xf>
    <xf numFmtId="0" fontId="42" fillId="2" borderId="0" xfId="2" applyFont="1" applyFill="1" applyAlignment="1">
      <alignment horizontal="right" vertical="center" wrapText="1"/>
    </xf>
    <xf numFmtId="0" fontId="42" fillId="2" borderId="29" xfId="2" applyFont="1" applyFill="1" applyBorder="1" applyAlignment="1">
      <alignment horizontal="right" vertical="center" wrapText="1"/>
    </xf>
    <xf numFmtId="0" fontId="9" fillId="2" borderId="13" xfId="2" applyFont="1" applyFill="1" applyBorder="1" applyAlignment="1">
      <alignment horizontal="center" vertical="center"/>
    </xf>
    <xf numFmtId="0" fontId="8" fillId="4" borderId="18" xfId="2" applyFont="1" applyFill="1" applyBorder="1" applyAlignment="1">
      <alignment horizontal="center" vertical="center"/>
    </xf>
    <xf numFmtId="0" fontId="8" fillId="4" borderId="19" xfId="2" applyFont="1" applyFill="1" applyBorder="1" applyAlignment="1">
      <alignment horizontal="center" vertical="center"/>
    </xf>
  </cellXfs>
  <cellStyles count="5">
    <cellStyle name="Comma 2" xfId="3" xr:uid="{028FDA0A-65A2-4F01-A0D5-DE7D292EABB1}"/>
    <cellStyle name="Hyperlink" xfId="4" builtinId="8"/>
    <cellStyle name="Normal" xfId="0" builtinId="0"/>
    <cellStyle name="Normal 2" xfId="2" xr:uid="{40A4D329-612D-4B2C-99CB-7E986578CA72}"/>
    <cellStyle name="Normal 7" xfId="1" xr:uid="{B0AA8E6A-D1D8-4CA4-BAD3-44BA8C67DC2F}"/>
  </cellStyles>
  <dxfs count="5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4" tint="0.79998168889431442"/>
      </font>
    </dxf>
    <dxf>
      <font>
        <color theme="0"/>
      </font>
    </dxf>
    <dxf>
      <font>
        <color theme="0"/>
      </font>
    </dxf>
    <dxf>
      <font>
        <color theme="4" tint="0.79998168889431442"/>
      </font>
    </dxf>
    <dxf>
      <font>
        <b val="0"/>
        <i/>
        <strike val="0"/>
        <condense val="0"/>
        <extend val="0"/>
        <outline val="0"/>
        <shadow val="0"/>
        <u/>
        <vertAlign val="baseline"/>
        <sz val="11"/>
        <color rgb="FF374C4A"/>
        <name val="PermianSerifTypeface"/>
        <family val="3"/>
        <scheme val="none"/>
      </font>
      <numFmt numFmtId="3" formatCode="#,##0"/>
      <fill>
        <patternFill patternType="solid">
          <fgColor indexed="64"/>
          <bgColor rgb="FFEFEFE9"/>
        </patternFill>
      </fill>
      <alignment horizontal="general" vertical="center" textRotation="0" wrapText="0" indent="0" justifyLastLine="0" shrinkToFit="0" readingOrder="0"/>
    </dxf>
    <dxf>
      <font>
        <b val="0"/>
        <i/>
        <strike val="0"/>
        <condense val="0"/>
        <extend val="0"/>
        <outline val="0"/>
        <shadow val="0"/>
        <u/>
        <vertAlign val="baseline"/>
        <sz val="11"/>
        <color rgb="FF374C4A"/>
        <name val="PermianSerifTypeface"/>
        <family val="3"/>
        <scheme val="none"/>
      </font>
      <fill>
        <patternFill patternType="solid">
          <fgColor indexed="64"/>
          <bgColor rgb="FFEFEFE9"/>
        </patternFill>
      </fill>
      <alignment horizontal="general" vertical="center" textRotation="0" wrapText="0" indent="0" justifyLastLine="0" shrinkToFit="0" readingOrder="0"/>
    </dxf>
  </dxfs>
  <tableStyles count="0" defaultTableStyle="TableStyleMedium2" defaultPivotStyle="PivotStyleLight16"/>
  <colors>
    <mruColors>
      <color rgb="FF374C4A"/>
      <color rgb="FF754B42"/>
      <color rgb="FFA97D5E"/>
      <color rgb="FF70907C"/>
      <color rgb="FFB8C8BE"/>
      <color rgb="FF93AB9D"/>
      <color rgb="FFC2B3A3"/>
      <color rgb="FFEFEFE9"/>
      <color rgb="FFE7E7DD"/>
      <color rgb="FF523D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atricele!A1" Type="http://schemas.openxmlformats.org/officeDocument/2006/relationships/hyperlink"/><Relationship Id="rId2" Target="#Coperta!C1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161925</xdr:rowOff>
    </xdr:from>
    <xdr:to>
      <xdr:col>4</xdr:col>
      <xdr:colOff>181316</xdr:colOff>
      <xdr:row>3</xdr:row>
      <xdr:rowOff>12288</xdr:rowOff>
    </xdr:to>
    <xdr:pic>
      <xdr:nvPicPr>
        <xdr:cNvPr id="9" name="Picture 8">
          <a:extLst>
            <a:ext uri="{FF2B5EF4-FFF2-40B4-BE49-F238E27FC236}">
              <a16:creationId xmlns:a16="http://schemas.microsoft.com/office/drawing/2014/main" id="{9AF83072-AF85-4164-B1B8-C29FF3E51B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495300"/>
          <a:ext cx="1981541" cy="2313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10677526</xdr:colOff>
      <xdr:row>8</xdr:row>
      <xdr:rowOff>942976</xdr:rowOff>
    </xdr:from>
    <xdr:to>
      <xdr:col>3</xdr:col>
      <xdr:colOff>600526</xdr:colOff>
      <xdr:row>10</xdr:row>
      <xdr:rowOff>168526</xdr:rowOff>
    </xdr:to>
    <xdr:sp macro="" textlink="">
      <xdr:nvSpPr>
        <xdr:cNvPr id="2" name="Arrow: Right 1">
          <a:hlinkClick xmlns:r="http://schemas.openxmlformats.org/officeDocument/2006/relationships" r:id="rId1"/>
          <a:extLst>
            <a:ext uri="{FF2B5EF4-FFF2-40B4-BE49-F238E27FC236}">
              <a16:creationId xmlns:a16="http://schemas.microsoft.com/office/drawing/2014/main" id="{6545A2F4-DC53-AB8F-DB8A-453FC5118BCD}"/>
            </a:ext>
          </a:extLst>
        </xdr:cNvPr>
        <xdr:cNvSpPr/>
      </xdr:nvSpPr>
      <xdr:spPr>
        <a:xfrm>
          <a:off x="11620501" y="6181726"/>
          <a:ext cx="972000" cy="540000"/>
        </a:xfrm>
        <a:prstGeom prst="rightArrow">
          <a:avLst/>
        </a:prstGeom>
        <a:solidFill>
          <a:srgbClr val="C2B3A3"/>
        </a:solidFill>
        <a:ln>
          <a:noFill/>
        </a:ln>
        <a:effectLst/>
        <a:scene3d>
          <a:camera prst="orthographicFront">
            <a:rot lat="0" lon="0" rev="0"/>
          </a:camera>
          <a:lightRig rig="contrasting" dir="t">
            <a:rot lat="0" lon="0" rev="7800000"/>
          </a:lightRig>
        </a:scene3d>
        <a:sp3d>
          <a:bevelT w="139700" h="1397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ro-MD" sz="1100">
              <a:solidFill>
                <a:srgbClr val="374C4A"/>
              </a:solidFill>
              <a:latin typeface="PermianSerifTypeface" panose="02000000000000000000" pitchFamily="50" charset="0"/>
            </a:rPr>
            <a:t>matricele</a:t>
          </a:r>
        </a:p>
      </xdr:txBody>
    </xdr:sp>
    <xdr:clientData/>
  </xdr:twoCellAnchor>
  <xdr:twoCellAnchor>
    <xdr:from>
      <xdr:col>1</xdr:col>
      <xdr:colOff>0</xdr:colOff>
      <xdr:row>9</xdr:row>
      <xdr:rowOff>9525</xdr:rowOff>
    </xdr:from>
    <xdr:to>
      <xdr:col>2</xdr:col>
      <xdr:colOff>362400</xdr:colOff>
      <xdr:row>10</xdr:row>
      <xdr:rowOff>187575</xdr:rowOff>
    </xdr:to>
    <xdr:sp macro="" textlink="">
      <xdr:nvSpPr>
        <xdr:cNvPr id="6" name="Arrow: Right 5">
          <a:hlinkClick xmlns:r="http://schemas.openxmlformats.org/officeDocument/2006/relationships" r:id="rId2"/>
          <a:extLst>
            <a:ext uri="{FF2B5EF4-FFF2-40B4-BE49-F238E27FC236}">
              <a16:creationId xmlns:a16="http://schemas.microsoft.com/office/drawing/2014/main" id="{CD7DAC94-B6DD-4166-BF97-8784971E42ED}"/>
            </a:ext>
          </a:extLst>
        </xdr:cNvPr>
        <xdr:cNvSpPr/>
      </xdr:nvSpPr>
      <xdr:spPr>
        <a:xfrm flipH="1">
          <a:off x="333375" y="6200775"/>
          <a:ext cx="972000" cy="540000"/>
        </a:xfrm>
        <a:prstGeom prst="rightArrow">
          <a:avLst/>
        </a:prstGeom>
        <a:solidFill>
          <a:srgbClr val="C2B3A3"/>
        </a:solidFill>
        <a:ln w="19050" cap="flat" cmpd="sng" algn="ctr">
          <a:noFill/>
          <a:prstDash val="solid"/>
          <a:miter lim="800000"/>
        </a:ln>
        <a:effectLst/>
        <a:scene3d>
          <a:camera prst="orthographicFront">
            <a:rot lat="0" lon="0" rev="0"/>
          </a:camera>
          <a:lightRig rig="contrasting" dir="t">
            <a:rot lat="0" lon="0" rev="13200000"/>
          </a:lightRig>
        </a:scene3d>
        <a:sp3d>
          <a:bevelT w="139700" h="139700"/>
        </a:sp3d>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ro-MD" sz="1100" b="0" i="0" u="none" strike="noStrike" kern="0" cap="none" spc="0" normalizeH="0" baseline="0" noProof="0">
              <a:ln>
                <a:noFill/>
              </a:ln>
              <a:solidFill>
                <a:srgbClr val="374C4A"/>
              </a:solidFill>
              <a:effectLst/>
              <a:uLnTx/>
              <a:uFillTx/>
              <a:latin typeface="PermianSerifTypeface" panose="02000000000000000000" pitchFamily="50" charset="0"/>
              <a:ea typeface="+mn-ea"/>
              <a:cs typeface="+mn-cs"/>
            </a:rPr>
            <a:t>conținut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3FD7B7-BB03-41E9-B7DE-B5235D0109A1}" name="perioada" displayName="perioada" ref="A1:A27" totalsRowShown="0" dataDxfId="52" dataCellStyle="Normal 7">
  <autoFilter ref="A1:A27" xr:uid="{443FD7B7-BB03-41E9-B7DE-B5235D0109A1}"/>
  <tableColumns count="1">
    <tableColumn id="1" xr3:uid="{D9A327FE-C044-4611-9CC3-22F9E9F0AC24}" name="perioada" dataDxfId="51" dataCellStyle="Normal 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Yellow">
      <a:dk1>
        <a:sysClr val="windowText" lastClr="000000"/>
      </a:dk1>
      <a:lt1>
        <a:sysClr val="window" lastClr="FFFFFF"/>
      </a:lt1>
      <a:dk2>
        <a:srgbClr val="39302A"/>
      </a:dk2>
      <a:lt2>
        <a:srgbClr val="E5DEDB"/>
      </a:lt2>
      <a:accent1>
        <a:srgbClr val="FFCA08"/>
      </a:accent1>
      <a:accent2>
        <a:srgbClr val="F8931D"/>
      </a:accent2>
      <a:accent3>
        <a:srgbClr val="CE8D3E"/>
      </a:accent3>
      <a:accent4>
        <a:srgbClr val="EC7016"/>
      </a:accent4>
      <a:accent5>
        <a:srgbClr val="E64823"/>
      </a:accent5>
      <a:accent6>
        <a:srgbClr val="9C6A6A"/>
      </a:accent6>
      <a:hlink>
        <a:srgbClr val="2998E3"/>
      </a:hlink>
      <a:folHlink>
        <a:srgbClr val="7F723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cap="flat" cmpd="sng" algn="ctr">
          <a:noFill/>
          <a:prstDash val="solid"/>
          <a:miter lim="800000"/>
        </a:ln>
        <a:effectLst/>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kumimoji="0" sz="1100" b="0" i="0" u="none" strike="noStrike" kern="0" cap="none" spc="0" normalizeH="0" baseline="0" noProof="0" smtClean="0">
            <a:ln>
              <a:noFill/>
            </a:ln>
            <a:solidFill>
              <a:sysClr val="window" lastClr="FFFFFF"/>
            </a:solidFill>
            <a:effectLst/>
            <a:uLnTx/>
            <a:uFillTx/>
            <a:latin typeface="Aptos Narrow" panose="02110004020202020204"/>
            <a:ea typeface="+mn-ea"/>
            <a:cs typeface="+mn-cs"/>
          </a:defRPr>
        </a:defPPr>
      </a:lst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77A2F-3EF5-47CC-B09C-D62C575133DE}">
  <sheetPr codeName="Sheet2">
    <tabColor rgb="FF374C4A"/>
    <pageSetUpPr fitToPage="1"/>
  </sheetPr>
  <dimension ref="A1:Q26"/>
  <sheetViews>
    <sheetView showGridLines="0" showRowColHeaders="0" tabSelected="1" workbookViewId="0">
      <selection activeCell="Q1" sqref="Q1"/>
    </sheetView>
  </sheetViews>
  <sheetFormatPr defaultColWidth="0" defaultRowHeight="14.5" zeroHeight="1" x14ac:dyDescent="0.35"/>
  <cols>
    <col min="1" max="1" customWidth="true" width="5.0" collapsed="false"/>
    <col min="2" max="2" customWidth="true" width="10.81640625" collapsed="false"/>
    <col min="3" max="16" customWidth="true" width="9.1796875" collapsed="false"/>
    <col min="17" max="17" customWidth="true" width="5.0" collapsed="false"/>
    <col min="18" max="16384" hidden="true" width="9.1796875" collapsed="false"/>
  </cols>
  <sheetData>
    <row r="1" spans="1:17" ht="26.25" customHeight="1" x14ac:dyDescent="0.35">
      <c r="A1" s="62"/>
      <c r="B1" s="62"/>
      <c r="C1" s="62"/>
      <c r="D1" s="62"/>
      <c r="E1" s="62"/>
      <c r="F1" s="62"/>
      <c r="G1" s="62"/>
      <c r="H1" s="62"/>
      <c r="I1" s="62"/>
      <c r="J1" s="62"/>
      <c r="K1" s="62"/>
      <c r="L1" s="62"/>
      <c r="M1" s="62"/>
      <c r="N1" s="62"/>
      <c r="O1" s="62"/>
      <c r="P1" s="62"/>
      <c r="Q1" s="62"/>
    </row>
    <row r="2" spans="1:17" x14ac:dyDescent="0.35">
      <c r="A2" s="62"/>
      <c r="B2" s="63"/>
      <c r="C2" s="64"/>
      <c r="D2" s="64"/>
      <c r="E2" s="64"/>
      <c r="F2" s="64"/>
      <c r="G2" s="64"/>
      <c r="H2" s="64"/>
      <c r="I2" s="64"/>
      <c r="J2" s="64"/>
      <c r="K2" s="64"/>
      <c r="L2" s="64"/>
      <c r="M2" s="64"/>
      <c r="N2" s="64"/>
      <c r="O2" s="65"/>
      <c r="P2" s="66"/>
      <c r="Q2" s="62"/>
    </row>
    <row r="3" spans="1:17" x14ac:dyDescent="0.35">
      <c r="A3" s="62"/>
      <c r="B3" s="67"/>
      <c r="C3" s="62"/>
      <c r="D3" s="62"/>
      <c r="E3" s="62"/>
      <c r="F3" s="62"/>
      <c r="G3" s="62"/>
      <c r="H3" s="62"/>
      <c r="I3" s="62"/>
      <c r="J3" s="62"/>
      <c r="K3" s="62"/>
      <c r="L3" s="62"/>
      <c r="M3" s="62"/>
      <c r="N3" s="62"/>
      <c r="O3" s="61" t="s">
        <v>56</v>
      </c>
      <c r="P3" s="68"/>
      <c r="Q3" s="62"/>
    </row>
    <row r="4" spans="1:17" x14ac:dyDescent="0.35">
      <c r="A4" s="62"/>
      <c r="B4" s="67"/>
      <c r="C4" s="62"/>
      <c r="D4" s="62"/>
      <c r="E4" s="62"/>
      <c r="F4" s="62"/>
      <c r="G4" s="62"/>
      <c r="H4" s="62"/>
      <c r="I4" s="62"/>
      <c r="J4" s="62"/>
      <c r="K4" s="62"/>
      <c r="L4" s="62"/>
      <c r="M4" s="62"/>
      <c r="N4" s="62"/>
      <c r="O4" s="62"/>
      <c r="P4" s="68"/>
      <c r="Q4" s="62"/>
    </row>
    <row r="5" spans="1:17" x14ac:dyDescent="0.35">
      <c r="A5" s="62"/>
      <c r="B5" s="67"/>
      <c r="C5" s="62"/>
      <c r="D5" s="62"/>
      <c r="E5" s="62"/>
      <c r="F5" s="62"/>
      <c r="G5" s="62"/>
      <c r="H5" s="62"/>
      <c r="I5" s="62"/>
      <c r="J5" s="62"/>
      <c r="K5" s="62"/>
      <c r="L5" s="62"/>
      <c r="M5" s="62"/>
      <c r="N5" s="62"/>
      <c r="O5" s="62"/>
      <c r="P5" s="68"/>
      <c r="Q5" s="62"/>
    </row>
    <row r="6" spans="1:17" x14ac:dyDescent="0.35">
      <c r="A6" s="62"/>
      <c r="B6" s="67"/>
      <c r="C6" s="62"/>
      <c r="D6" s="62"/>
      <c r="E6" s="62"/>
      <c r="F6" s="62"/>
      <c r="G6" s="62"/>
      <c r="H6" s="62"/>
      <c r="I6" s="62"/>
      <c r="J6" s="62"/>
      <c r="K6" s="62"/>
      <c r="L6" s="62"/>
      <c r="M6" s="62"/>
      <c r="N6" s="62"/>
      <c r="O6" s="62"/>
      <c r="P6" s="68"/>
      <c r="Q6" s="62"/>
    </row>
    <row r="7" spans="1:17" x14ac:dyDescent="0.35">
      <c r="A7" s="62"/>
      <c r="B7" s="67"/>
      <c r="C7" s="62"/>
      <c r="D7" s="62"/>
      <c r="E7" s="62"/>
      <c r="F7" s="62"/>
      <c r="G7" s="62"/>
      <c r="H7" s="62"/>
      <c r="I7" s="62"/>
      <c r="J7" s="62"/>
      <c r="K7" s="62"/>
      <c r="L7" s="62"/>
      <c r="M7" s="62"/>
      <c r="N7" s="62"/>
      <c r="O7" s="62"/>
      <c r="P7" s="68"/>
      <c r="Q7" s="62"/>
    </row>
    <row r="8" spans="1:17" ht="28.5" x14ac:dyDescent="0.65">
      <c r="A8" s="62"/>
      <c r="B8" s="67"/>
      <c r="C8" s="72" t="s">
        <v>44</v>
      </c>
      <c r="D8" s="62"/>
      <c r="E8" s="62"/>
      <c r="F8" s="62"/>
      <c r="G8" s="62"/>
      <c r="H8" s="62"/>
      <c r="I8" s="62"/>
      <c r="J8" s="62"/>
      <c r="K8" s="62"/>
      <c r="L8" s="62"/>
      <c r="M8" s="62"/>
      <c r="N8" s="62"/>
      <c r="O8" s="62"/>
      <c r="P8" s="68"/>
      <c r="Q8" s="62"/>
    </row>
    <row r="9" spans="1:17" ht="20.5" x14ac:dyDescent="0.45">
      <c r="A9" s="62"/>
      <c r="B9" s="67"/>
      <c r="C9" s="89" t="s">
        <v>49</v>
      </c>
      <c r="D9" s="62"/>
      <c r="E9" s="62"/>
      <c r="F9" s="62"/>
      <c r="G9" s="62"/>
      <c r="H9" s="62"/>
      <c r="I9" s="62"/>
      <c r="J9" s="62"/>
      <c r="K9" s="62"/>
      <c r="L9" s="62"/>
      <c r="M9" s="62"/>
      <c r="N9" s="62"/>
      <c r="O9" s="62"/>
      <c r="P9" s="68"/>
      <c r="Q9" s="62"/>
    </row>
    <row r="10" spans="1:17" ht="35.25" customHeight="1" x14ac:dyDescent="0.45">
      <c r="A10" s="62"/>
      <c r="B10" s="67"/>
      <c r="C10" s="73" t="s">
        <v>55</v>
      </c>
      <c r="D10" s="62"/>
      <c r="E10" s="62"/>
      <c r="F10" s="62"/>
      <c r="G10" s="62"/>
      <c r="H10" s="62"/>
      <c r="I10" s="62"/>
      <c r="J10" s="62"/>
      <c r="K10" s="62"/>
      <c r="L10" s="62"/>
      <c r="M10" s="62"/>
      <c r="N10" s="62"/>
      <c r="O10" s="62"/>
      <c r="P10" s="68"/>
      <c r="Q10" s="62"/>
    </row>
    <row r="11" spans="1:17" ht="20.5" x14ac:dyDescent="0.45">
      <c r="A11" s="62"/>
      <c r="B11" s="67"/>
      <c r="C11" s="73"/>
      <c r="D11" s="73"/>
      <c r="E11" s="73"/>
      <c r="F11" s="73"/>
      <c r="G11" s="73"/>
      <c r="H11" s="73"/>
      <c r="I11" s="73"/>
      <c r="J11" s="73"/>
      <c r="K11" s="73"/>
      <c r="L11" s="73"/>
      <c r="M11" s="73"/>
      <c r="N11" s="73"/>
      <c r="O11" s="62"/>
      <c r="P11" s="68"/>
      <c r="Q11" s="62"/>
    </row>
    <row r="12" spans="1:17" ht="9" customHeight="1" x14ac:dyDescent="0.45">
      <c r="A12" s="62"/>
      <c r="B12" s="67"/>
      <c r="C12" s="73"/>
      <c r="D12" s="73"/>
      <c r="E12" s="73"/>
      <c r="F12" s="73"/>
      <c r="G12" s="73"/>
      <c r="H12" s="73"/>
      <c r="I12" s="73"/>
      <c r="J12" s="73"/>
      <c r="K12" s="73"/>
      <c r="L12" s="73"/>
      <c r="M12" s="73"/>
      <c r="N12" s="73"/>
      <c r="O12" s="62"/>
      <c r="P12" s="68"/>
      <c r="Q12" s="62"/>
    </row>
    <row r="13" spans="1:17" ht="18" x14ac:dyDescent="0.4">
      <c r="A13" s="62"/>
      <c r="B13" s="67"/>
      <c r="C13" s="62"/>
      <c r="D13" s="74" t="s">
        <v>39</v>
      </c>
      <c r="E13" s="62"/>
      <c r="F13" s="62"/>
      <c r="G13" s="62"/>
      <c r="H13" s="62"/>
      <c r="I13" s="62"/>
      <c r="J13" s="62"/>
      <c r="K13" s="62"/>
      <c r="L13" s="62"/>
      <c r="M13" s="62"/>
      <c r="N13" s="62"/>
      <c r="O13" s="62"/>
      <c r="P13" s="68"/>
      <c r="Q13" s="62"/>
    </row>
    <row r="14" spans="1:17" ht="15.5" x14ac:dyDescent="0.35">
      <c r="A14" s="62"/>
      <c r="B14" s="67"/>
      <c r="C14" s="62"/>
      <c r="D14" s="75"/>
      <c r="E14" s="62"/>
      <c r="F14" s="62"/>
      <c r="G14" s="62"/>
      <c r="H14" s="62"/>
      <c r="I14" s="62"/>
      <c r="J14" s="62"/>
      <c r="K14" s="62"/>
      <c r="L14" s="62"/>
      <c r="M14" s="62"/>
      <c r="N14" s="62"/>
      <c r="O14" s="62"/>
      <c r="P14" s="68"/>
      <c r="Q14" s="62"/>
    </row>
    <row r="15" spans="1:17" ht="16" x14ac:dyDescent="0.4">
      <c r="A15" s="62"/>
      <c r="B15" s="67"/>
      <c r="C15" s="62"/>
      <c r="D15" s="86" t="s">
        <v>40</v>
      </c>
      <c r="E15" s="62"/>
      <c r="F15" s="62"/>
      <c r="G15" s="62"/>
      <c r="H15" s="62"/>
      <c r="I15" s="62"/>
      <c r="J15" s="62"/>
      <c r="K15" s="62"/>
      <c r="L15" s="62"/>
      <c r="M15" s="62"/>
      <c r="N15" s="62"/>
      <c r="O15" s="62"/>
      <c r="P15" s="68"/>
      <c r="Q15" s="62"/>
    </row>
    <row r="16" spans="1:17" ht="16" x14ac:dyDescent="0.4">
      <c r="A16" s="62"/>
      <c r="B16" s="67"/>
      <c r="C16" s="62"/>
      <c r="D16" s="86" t="s">
        <v>41</v>
      </c>
      <c r="E16" s="62"/>
      <c r="F16" s="62"/>
      <c r="G16" s="62"/>
      <c r="H16" s="62"/>
      <c r="I16" s="62"/>
      <c r="J16" s="62"/>
      <c r="K16" s="62"/>
      <c r="L16" s="62"/>
      <c r="M16" s="62"/>
      <c r="N16" s="62"/>
      <c r="O16" s="62"/>
      <c r="P16" s="68"/>
      <c r="Q16" s="62"/>
    </row>
    <row r="17" spans="1:17" x14ac:dyDescent="0.35">
      <c r="A17" s="62"/>
      <c r="B17" s="67"/>
      <c r="C17" s="62"/>
      <c r="D17" s="87" t="s">
        <v>42</v>
      </c>
      <c r="E17" s="62"/>
      <c r="F17" s="62"/>
      <c r="G17" s="62"/>
      <c r="H17" s="62"/>
      <c r="I17" s="62"/>
      <c r="J17" s="62"/>
      <c r="K17" s="62"/>
      <c r="L17" s="62"/>
      <c r="M17" s="62"/>
      <c r="N17" s="62"/>
      <c r="O17" s="62"/>
      <c r="P17" s="68"/>
      <c r="Q17" s="62"/>
    </row>
    <row r="18" spans="1:17" x14ac:dyDescent="0.35">
      <c r="A18" s="62"/>
      <c r="B18" s="67"/>
      <c r="C18" s="62"/>
      <c r="D18" s="87" t="s">
        <v>43</v>
      </c>
      <c r="E18" s="62"/>
      <c r="F18" s="62"/>
      <c r="G18" s="62"/>
      <c r="H18" s="62"/>
      <c r="I18" s="62"/>
      <c r="J18" s="62"/>
      <c r="K18" s="62"/>
      <c r="L18" s="62"/>
      <c r="M18" s="62"/>
      <c r="N18" s="62"/>
      <c r="O18" s="62"/>
      <c r="P18" s="68"/>
      <c r="Q18" s="62"/>
    </row>
    <row r="19" spans="1:17" ht="120.75" customHeight="1" x14ac:dyDescent="0.35">
      <c r="A19" s="62"/>
      <c r="B19" s="67"/>
      <c r="C19" s="88"/>
      <c r="D19" s="88"/>
      <c r="E19" s="88"/>
      <c r="F19" s="88"/>
      <c r="G19" s="88"/>
      <c r="H19" s="88"/>
      <c r="I19" s="88"/>
      <c r="J19" s="88"/>
      <c r="K19" s="88"/>
      <c r="L19" s="88"/>
      <c r="M19" s="88"/>
      <c r="N19" s="88"/>
      <c r="O19" s="88"/>
      <c r="P19" s="68"/>
      <c r="Q19" s="62"/>
    </row>
    <row r="20" spans="1:17" x14ac:dyDescent="0.35">
      <c r="A20" s="62"/>
      <c r="B20" s="67"/>
      <c r="C20" s="88"/>
      <c r="D20" s="88"/>
      <c r="E20" s="88"/>
      <c r="F20" s="88"/>
      <c r="G20" s="88"/>
      <c r="H20" s="88"/>
      <c r="I20" s="88"/>
      <c r="J20" s="88"/>
      <c r="K20" s="88"/>
      <c r="L20" s="88"/>
      <c r="M20" s="88"/>
      <c r="N20" s="88"/>
      <c r="O20" s="88"/>
      <c r="P20" s="68"/>
      <c r="Q20" s="62"/>
    </row>
    <row r="21" spans="1:17" x14ac:dyDescent="0.35">
      <c r="A21" s="62"/>
      <c r="B21" s="67"/>
      <c r="C21" s="88"/>
      <c r="D21" s="88"/>
      <c r="E21" s="88"/>
      <c r="F21" s="88"/>
      <c r="G21" s="88"/>
      <c r="H21" s="88"/>
      <c r="I21" s="88"/>
      <c r="J21" s="88"/>
      <c r="K21" s="88"/>
      <c r="L21" s="88"/>
      <c r="M21" s="88"/>
      <c r="N21" s="88"/>
      <c r="O21" s="88"/>
      <c r="P21" s="68"/>
      <c r="Q21" s="62"/>
    </row>
    <row r="22" spans="1:17" x14ac:dyDescent="0.35">
      <c r="A22" s="62"/>
      <c r="B22" s="67"/>
      <c r="C22" s="88"/>
      <c r="D22" s="88"/>
      <c r="E22" s="88"/>
      <c r="F22" s="88"/>
      <c r="G22" s="88"/>
      <c r="H22" s="88"/>
      <c r="I22" s="88"/>
      <c r="J22" s="88"/>
      <c r="K22" s="88"/>
      <c r="L22" s="88"/>
      <c r="M22" s="88"/>
      <c r="N22" s="88"/>
      <c r="O22" s="88"/>
      <c r="P22" s="68"/>
      <c r="Q22" s="62"/>
    </row>
    <row r="23" spans="1:17" x14ac:dyDescent="0.35">
      <c r="A23" s="62"/>
      <c r="B23" s="67"/>
      <c r="C23" s="88"/>
      <c r="D23" s="88"/>
      <c r="E23" s="88"/>
      <c r="F23" s="88"/>
      <c r="G23" s="88"/>
      <c r="H23" s="88"/>
      <c r="I23" s="88"/>
      <c r="J23" s="88"/>
      <c r="K23" s="88"/>
      <c r="L23" s="88"/>
      <c r="M23" s="88"/>
      <c r="N23" s="88"/>
      <c r="O23" s="88"/>
      <c r="P23" s="68"/>
      <c r="Q23" s="62"/>
    </row>
    <row r="24" spans="1:17" x14ac:dyDescent="0.35">
      <c r="A24" s="62"/>
      <c r="B24" s="67"/>
      <c r="C24" s="62"/>
      <c r="D24" s="62"/>
      <c r="E24" s="62"/>
      <c r="F24" s="62"/>
      <c r="G24" s="62"/>
      <c r="H24" s="62"/>
      <c r="I24" s="62"/>
      <c r="J24" s="62"/>
      <c r="K24" s="62"/>
      <c r="L24" s="62"/>
      <c r="M24" s="62"/>
      <c r="N24" s="62"/>
      <c r="O24" s="62"/>
      <c r="P24" s="68"/>
      <c r="Q24" s="62"/>
    </row>
    <row r="25" spans="1:17" x14ac:dyDescent="0.35">
      <c r="A25" s="62"/>
      <c r="B25" s="69"/>
      <c r="C25" s="70"/>
      <c r="D25" s="70"/>
      <c r="E25" s="70"/>
      <c r="F25" s="70"/>
      <c r="G25" s="70"/>
      <c r="H25" s="70"/>
      <c r="I25" s="70"/>
      <c r="J25" s="70"/>
      <c r="K25" s="70"/>
      <c r="L25" s="70"/>
      <c r="M25" s="70"/>
      <c r="N25" s="70"/>
      <c r="O25" s="70"/>
      <c r="P25" s="71"/>
      <c r="Q25" s="62"/>
    </row>
    <row r="26" spans="1:17" ht="26.25" customHeight="1" x14ac:dyDescent="0.35">
      <c r="A26" s="62"/>
      <c r="B26" s="62"/>
      <c r="C26" s="62"/>
      <c r="D26" s="62"/>
      <c r="E26" s="62"/>
      <c r="F26" s="62"/>
      <c r="G26" s="62"/>
      <c r="H26" s="62"/>
      <c r="I26" s="62"/>
      <c r="J26" s="62"/>
      <c r="K26" s="62"/>
      <c r="L26" s="62"/>
      <c r="M26" s="62"/>
      <c r="N26" s="62"/>
      <c r="O26" s="62"/>
      <c r="P26" s="62"/>
      <c r="Q26" s="62"/>
    </row>
  </sheetData>
  <hyperlinks>
    <hyperlink ref="D15" location="'nota explicativă'!A1" display="nota explicativă" xr:uid="{3B739405-CC29-4087-B1D1-D9A404BB361E}"/>
    <hyperlink ref="D16" location="matricele!A1" display="matricele" xr:uid="{BF1CBACC-6D05-4480-8683-70DADDC24E2D}"/>
    <hyperlink ref="D17" location="'seriile dinamice active'!A1" display="seriile dinamice aferente activelor" xr:uid="{A045280B-F8C4-4FD9-971E-286E25E55773}"/>
    <hyperlink ref="D18" location="'seriile dinamice pasive '!A1" display="seriile dinamice aferente pasivelor" xr:uid="{5B042B95-B1E7-490B-A5E3-FACFFF9BA0BD}"/>
  </hyperlinks>
  <pageMargins left="0.70866141732283472" right="0.70866141732283472" top="0.74803149606299213" bottom="0.74803149606299213" header="0.31496062992125984" footer="0.31496062992125984"/>
  <pageSetup paperSize="8"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E551-0AC4-4F17-814D-A698107F5FD0}">
  <sheetPr codeName="Sheet1">
    <tabColor rgb="FFC2B3A3"/>
    <pageSetUpPr fitToPage="1"/>
  </sheetPr>
  <dimension ref="B1:D24"/>
  <sheetViews>
    <sheetView showGridLines="0" showRowColHeaders="0" workbookViewId="0">
      <selection activeCell="C3" sqref="C3"/>
    </sheetView>
  </sheetViews>
  <sheetFormatPr defaultColWidth="0" defaultRowHeight="14.5" zeroHeight="1" x14ac:dyDescent="0.35"/>
  <cols>
    <col min="1" max="1" customWidth="true" style="77" width="5.0" collapsed="false"/>
    <col min="2" max="2" customWidth="true" style="77" width="9.1796875" collapsed="false"/>
    <col min="3" max="3" customWidth="true" style="77" width="165.7265625" collapsed="false"/>
    <col min="4" max="4" customWidth="true" style="77" width="9.1796875" collapsed="false"/>
    <col min="5" max="5" customWidth="true" style="77" width="5.0" collapsed="false"/>
    <col min="6" max="16384" hidden="true" style="77" width="9.1796875" collapsed="false"/>
  </cols>
  <sheetData>
    <row r="1" spans="2:4" ht="26.25" customHeight="1" x14ac:dyDescent="0.4">
      <c r="D1" s="97" t="s">
        <v>53</v>
      </c>
    </row>
    <row r="2" spans="2:4" x14ac:dyDescent="0.35">
      <c r="B2" s="78"/>
      <c r="C2" s="79"/>
      <c r="D2" s="96"/>
    </row>
    <row r="3" spans="2:4" ht="26" x14ac:dyDescent="0.6">
      <c r="B3" s="80"/>
      <c r="C3" s="76" t="s">
        <v>45</v>
      </c>
      <c r="D3" s="81"/>
    </row>
    <row r="4" spans="2:4" x14ac:dyDescent="0.35">
      <c r="B4" s="80"/>
      <c r="D4" s="81"/>
    </row>
    <row r="5" spans="2:4" ht="124.5" customHeight="1" x14ac:dyDescent="0.35">
      <c r="B5" s="80"/>
      <c r="C5" s="82" t="s">
        <v>46</v>
      </c>
      <c r="D5" s="81"/>
    </row>
    <row r="6" spans="2:4" ht="59.25" customHeight="1" x14ac:dyDescent="0.35">
      <c r="B6" s="80"/>
      <c r="C6" s="82" t="s">
        <v>47</v>
      </c>
      <c r="D6" s="81"/>
    </row>
    <row r="7" spans="2:4" ht="67.5" customHeight="1" x14ac:dyDescent="0.35">
      <c r="B7" s="80"/>
      <c r="C7" s="82" t="s">
        <v>50</v>
      </c>
      <c r="D7" s="81"/>
    </row>
    <row r="8" spans="2:4" ht="78.75" customHeight="1" x14ac:dyDescent="0.35">
      <c r="B8" s="80"/>
      <c r="C8" s="82" t="s">
        <v>48</v>
      </c>
      <c r="D8" s="81"/>
    </row>
    <row r="9" spans="2:4" ht="18" x14ac:dyDescent="0.35">
      <c r="B9" s="80"/>
      <c r="C9" s="82"/>
      <c r="D9" s="81"/>
    </row>
    <row r="10" spans="2:4" ht="28.5" customHeight="1" x14ac:dyDescent="0.35">
      <c r="B10" s="80"/>
      <c r="D10" s="81"/>
    </row>
    <row r="11" spans="2:4" x14ac:dyDescent="0.35">
      <c r="B11" s="83"/>
      <c r="C11" s="84"/>
      <c r="D11" s="85"/>
    </row>
    <row r="12" spans="2:4" ht="26.25" customHeight="1" x14ac:dyDescent="0.35"/>
    <row r="17" s="77" customFormat="1" hidden="1" x14ac:dyDescent="0.35"/>
    <row r="18" s="77" customFormat="1" hidden="1" x14ac:dyDescent="0.35"/>
    <row r="19" s="77" customFormat="1" hidden="1" x14ac:dyDescent="0.35"/>
    <row r="20" s="77" customFormat="1" hidden="1" x14ac:dyDescent="0.35"/>
    <row r="21" s="77" customFormat="1" hidden="1" x14ac:dyDescent="0.35"/>
    <row r="22" s="77" customFormat="1" hidden="1" x14ac:dyDescent="0.35"/>
    <row r="23" s="77" customFormat="1" hidden="1" x14ac:dyDescent="0.35"/>
    <row r="24" s="77" customFormat="1" hidden="1" x14ac:dyDescent="0.35"/>
  </sheetData>
  <pageMargins left="0.70866141732283472" right="0.70866141732283472" top="0.74803149606299213" bottom="0.74803149606299213" header="0.31496062992125984" footer="0.31496062992125984"/>
  <pageSetup paperSize="8"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D1D4C-468B-40F1-B3DC-D933E417AA2A}">
  <sheetPr codeName="Sheet3">
    <tabColor rgb="FF754B42"/>
    <outlinePr summaryBelow="0" summaryRight="0"/>
    <pageSetUpPr fitToPage="1"/>
  </sheetPr>
  <dimension ref="B1:P79"/>
  <sheetViews>
    <sheetView showGridLines="0" showWhiteSpace="0" zoomScale="85" zoomScaleNormal="85" workbookViewId="0"/>
  </sheetViews>
  <sheetFormatPr defaultColWidth="0" defaultRowHeight="14.5" zeroHeight="1" outlineLevelRow="1" outlineLevelCol="1" x14ac:dyDescent="0.35"/>
  <cols>
    <col min="1" max="2" customWidth="true" style="1" width="7.7265625" collapsed="false"/>
    <col min="3" max="5" customWidth="true" style="1" width="13.54296875" collapsed="false"/>
    <col min="6" max="6" customWidth="true" style="1" width="15.54296875" collapsed="false"/>
    <col min="7" max="7" customWidth="true" style="1" width="13.54296875" collapsed="false"/>
    <col min="8" max="10" customWidth="true" style="1" width="13.54296875" outlineLevel="1" collapsed="false"/>
    <col min="11" max="15" customWidth="true" style="1" width="13.54296875" collapsed="false"/>
    <col min="16" max="16" customWidth="true" style="1" width="7.7265625" collapsed="false"/>
    <col min="17" max="17" customWidth="true" hidden="true" style="1" width="0.0" collapsed="false"/>
    <col min="18" max="16384" hidden="true" style="1" width="11.0" collapsed="false"/>
  </cols>
  <sheetData>
    <row r="1" spans="2:16" ht="30" customHeight="1" x14ac:dyDescent="0.35"/>
    <row r="2" spans="2:16" x14ac:dyDescent="0.35">
      <c r="B2" s="13"/>
      <c r="C2" s="14"/>
      <c r="D2" s="14"/>
      <c r="E2" s="14"/>
      <c r="F2" s="14"/>
      <c r="G2" s="14"/>
      <c r="H2" s="14"/>
      <c r="I2" s="14"/>
      <c r="J2" s="14"/>
      <c r="K2" s="14"/>
      <c r="L2" s="14"/>
      <c r="M2" s="14"/>
      <c r="N2" s="14"/>
      <c r="O2" s="15"/>
    </row>
    <row r="3" spans="2:16" ht="61.5" customHeight="1" x14ac:dyDescent="0.35">
      <c r="B3" s="16"/>
      <c r="C3" s="104" t="s">
        <v>52</v>
      </c>
      <c r="D3" s="104"/>
      <c r="E3" s="104"/>
      <c r="F3" s="104"/>
      <c r="G3" s="104"/>
      <c r="H3" s="104"/>
      <c r="I3" s="104"/>
      <c r="J3" s="104"/>
      <c r="K3" s="104"/>
      <c r="L3" s="104"/>
      <c r="M3" s="104"/>
      <c r="N3" s="104"/>
      <c r="O3" s="17"/>
    </row>
    <row r="4" spans="2:16" ht="20.5" x14ac:dyDescent="0.45">
      <c r="B4" s="16"/>
      <c r="C4" s="18" t="str">
        <f>"Situația la "&amp;TEXT(F7,"dd mmm yyyy")&amp;", milioane lei"</f>
        <v>Situația la 31 mar 2025, milioane lei</v>
      </c>
      <c r="O4" s="19"/>
    </row>
    <row r="5" spans="2:16" x14ac:dyDescent="0.35">
      <c r="B5" s="16"/>
      <c r="C5" s="20"/>
      <c r="D5" s="20"/>
      <c r="E5" s="20"/>
      <c r="F5" s="20"/>
      <c r="G5" s="20"/>
      <c r="H5" s="20"/>
      <c r="I5" s="20"/>
      <c r="J5" s="20"/>
      <c r="K5" s="20"/>
      <c r="L5" s="20"/>
      <c r="M5" s="20"/>
      <c r="N5" s="20"/>
      <c r="O5" s="21"/>
    </row>
    <row r="6" spans="2:16" ht="60.75" customHeight="1" thickBot="1" x14ac:dyDescent="0.4">
      <c r="B6" s="16"/>
      <c r="C6" s="105" t="s">
        <v>38</v>
      </c>
      <c r="D6" s="105"/>
      <c r="E6" s="105"/>
      <c r="F6" s="105"/>
      <c r="G6" s="105"/>
      <c r="H6" s="105"/>
      <c r="I6" s="105"/>
      <c r="J6" s="105"/>
      <c r="K6" s="105"/>
      <c r="L6" s="105"/>
      <c r="M6" s="105"/>
      <c r="N6" s="105"/>
      <c r="O6" s="23"/>
    </row>
    <row r="7" spans="2:16" ht="34.5" customHeight="1" thickBot="1" x14ac:dyDescent="0.4">
      <c r="B7" s="16"/>
      <c r="C7" s="107" t="s">
        <v>33</v>
      </c>
      <c r="D7" s="107"/>
      <c r="E7" s="108"/>
      <c r="F7" s="94" t="s">
        <v>57</v>
      </c>
      <c r="G7" s="22"/>
      <c r="H7" s="22"/>
      <c r="I7" s="22"/>
      <c r="J7" s="22"/>
      <c r="K7" s="22"/>
      <c r="L7" s="22"/>
      <c r="M7" s="22"/>
      <c r="N7" s="22"/>
      <c r="O7" s="23"/>
    </row>
    <row r="8" spans="2:16" ht="21" customHeight="1" x14ac:dyDescent="0.45">
      <c r="B8" s="16"/>
      <c r="C8" s="24" t="s">
        <v>2</v>
      </c>
      <c r="O8" s="19"/>
    </row>
    <row r="9" spans="2:16" ht="9.75" customHeight="1" x14ac:dyDescent="0.45">
      <c r="B9" s="16"/>
      <c r="O9" s="19"/>
      <c r="P9" s="2"/>
    </row>
    <row r="10" spans="2:16" ht="18" customHeight="1" x14ac:dyDescent="0.4">
      <c r="B10" s="16"/>
      <c r="C10" s="5"/>
      <c r="D10" s="6" t="s">
        <v>3</v>
      </c>
      <c r="E10" s="103" t="s">
        <v>9</v>
      </c>
      <c r="F10" s="103" t="s">
        <v>10</v>
      </c>
      <c r="G10" s="103" t="s">
        <v>11</v>
      </c>
      <c r="H10" s="106" t="s">
        <v>21</v>
      </c>
      <c r="I10" s="106" t="s">
        <v>12</v>
      </c>
      <c r="J10" s="106" t="s">
        <v>13</v>
      </c>
      <c r="K10" s="103" t="s">
        <v>14</v>
      </c>
      <c r="L10" s="103" t="s">
        <v>25</v>
      </c>
      <c r="M10" s="103" t="s">
        <v>15</v>
      </c>
      <c r="N10" s="109" t="s">
        <v>4</v>
      </c>
      <c r="O10" s="25"/>
    </row>
    <row r="11" spans="2:16" ht="18" customHeight="1" x14ac:dyDescent="0.4">
      <c r="B11" s="16"/>
      <c r="C11" s="7" t="s">
        <v>5</v>
      </c>
      <c r="D11" s="8"/>
      <c r="E11" s="103"/>
      <c r="F11" s="103"/>
      <c r="G11" s="103"/>
      <c r="H11" s="106"/>
      <c r="I11" s="106"/>
      <c r="J11" s="106"/>
      <c r="K11" s="103"/>
      <c r="L11" s="103"/>
      <c r="M11" s="103"/>
      <c r="N11" s="109"/>
      <c r="O11" s="25"/>
    </row>
    <row r="12" spans="2:16" ht="27.75" customHeight="1" x14ac:dyDescent="0.35">
      <c r="B12" s="16"/>
      <c r="C12" s="103" t="s">
        <v>9</v>
      </c>
      <c r="D12" s="103"/>
      <c r="E12" s="9"/>
      <c r="F12" s="10">
        <f>F14+F18+F19+F13</f>
        <v>53553.369710801606</v>
      </c>
      <c r="G12" s="10">
        <f t="shared" ref="G12:M12" si="0">G14+G18+G19+G13</f>
        <v>20846.468848709996</v>
      </c>
      <c r="H12" s="32">
        <f t="shared" si="0"/>
        <v>16441.516226479998</v>
      </c>
      <c r="I12" s="32">
        <f t="shared" si="0"/>
        <v>4404.9526222300001</v>
      </c>
      <c r="J12" s="32">
        <f t="shared" si="0"/>
        <v>0</v>
      </c>
      <c r="K12" s="10">
        <f t="shared" si="0"/>
        <v>1017.42463384</v>
      </c>
      <c r="L12" s="10">
        <f t="shared" si="0"/>
        <v>51386.515303597807</v>
      </c>
      <c r="M12" s="10">
        <f t="shared" si="0"/>
        <v>5461.1301180500004</v>
      </c>
      <c r="N12" s="11">
        <f>N14+N18+N19+N13</f>
        <v>132264.90861499941</v>
      </c>
      <c r="O12" s="26"/>
      <c r="P12" s="3"/>
    </row>
    <row r="13" spans="2:16" ht="27.75" customHeight="1" x14ac:dyDescent="0.35">
      <c r="B13" s="16"/>
      <c r="C13" s="103" t="s">
        <v>10</v>
      </c>
      <c r="D13" s="103"/>
      <c r="E13" s="10">
        <f t="shared" ref="E13:E20" si="1">F13+G13+K13+L13</f>
        <v>542.33374300000003</v>
      </c>
      <c r="F13" s="9"/>
      <c r="G13" s="10">
        <f>H13+J13+I13</f>
        <v>542.33374300000003</v>
      </c>
      <c r="H13" s="32">
        <f>HLOOKUP(F7,'seriile dinamice active'!F4:AE318,29,FALSE)</f>
        <v>17.907314999999997</v>
      </c>
      <c r="I13" s="32">
        <f>HLOOKUP(F7,'seriile dinamice active'!F4:AE318,30,FALSE)</f>
        <v>524.42642799999999</v>
      </c>
      <c r="J13" s="32">
        <f>HLOOKUP(F7,'seriile dinamice active'!F4:AE318,31,FALSE)</f>
        <v>0</v>
      </c>
      <c r="K13" s="10">
        <f>HLOOKUP(F7,'seriile dinamice active'!F4:AE318,32,FALSE)</f>
        <v>0</v>
      </c>
      <c r="L13" s="10">
        <f>HLOOKUP(F7,'seriile dinamice active'!F4:AE318,33,FALSE)</f>
        <v>0</v>
      </c>
      <c r="M13" s="10">
        <f>HLOOKUP(F7,'seriile dinamice active'!F4:AE318,34,FALSE)</f>
        <v>5183.3405380000004</v>
      </c>
      <c r="N13" s="11">
        <f t="shared" ref="N13:N20" si="2">E13+M13</f>
        <v>5725.6742810000005</v>
      </c>
      <c r="O13" s="26"/>
      <c r="P13" s="4"/>
    </row>
    <row r="14" spans="2:16" ht="27.75" customHeight="1" x14ac:dyDescent="0.35">
      <c r="B14" s="16"/>
      <c r="C14" s="103" t="s">
        <v>11</v>
      </c>
      <c r="D14" s="103"/>
      <c r="E14" s="10">
        <f t="shared" si="1"/>
        <v>106163.71891674201</v>
      </c>
      <c r="F14" s="10">
        <f t="shared" ref="F14:M14" si="3">+F15+F17+F16</f>
        <v>50171.942627074211</v>
      </c>
      <c r="G14" s="10">
        <f t="shared" si="3"/>
        <v>3587.8363522300001</v>
      </c>
      <c r="H14" s="32">
        <f t="shared" si="3"/>
        <v>14.157118999999998</v>
      </c>
      <c r="I14" s="32">
        <f t="shared" si="3"/>
        <v>3573.6792332300001</v>
      </c>
      <c r="J14" s="32">
        <f t="shared" si="3"/>
        <v>0</v>
      </c>
      <c r="K14" s="10">
        <f t="shared" si="3"/>
        <v>1017.42463384</v>
      </c>
      <c r="L14" s="10">
        <f t="shared" si="3"/>
        <v>51386.515303597807</v>
      </c>
      <c r="M14" s="10">
        <f t="shared" si="3"/>
        <v>277.78958004999998</v>
      </c>
      <c r="N14" s="11">
        <f t="shared" si="2"/>
        <v>106441.50849679201</v>
      </c>
      <c r="O14" s="26"/>
      <c r="P14" s="3"/>
    </row>
    <row r="15" spans="2:16" ht="27.75" customHeight="1" outlineLevel="1" x14ac:dyDescent="0.35">
      <c r="B15" s="16"/>
      <c r="C15" s="106" t="s">
        <v>21</v>
      </c>
      <c r="D15" s="106"/>
      <c r="E15" s="32">
        <f t="shared" si="1"/>
        <v>90244.611589042019</v>
      </c>
      <c r="F15" s="32">
        <f>HLOOKUP(F7,'seriile dinamice active'!F4:AE318,117,FALSE)</f>
        <v>45326.753209374212</v>
      </c>
      <c r="G15" s="32">
        <f t="shared" ref="G15:G20" si="4">H15+J15+I15</f>
        <v>3573.6792332300001</v>
      </c>
      <c r="H15" s="32">
        <f>HLOOKUP(F7,'seriile dinamice active'!F4:AE318,119,FALSE)</f>
        <v>0</v>
      </c>
      <c r="I15" s="32">
        <f>HLOOKUP(F7,'seriile dinamice active'!F4:AE318,120,FALSE)</f>
        <v>3573.6792332300001</v>
      </c>
      <c r="J15" s="32">
        <f>HLOOKUP(F7,'seriile dinamice active'!F4:AE318,121,FALSE)</f>
        <v>0</v>
      </c>
      <c r="K15" s="32">
        <f>HLOOKUP(F7,'seriile dinamice active'!F4:AE318,122,FALSE)</f>
        <v>1017.42463384</v>
      </c>
      <c r="L15" s="32">
        <f>HLOOKUP(F7,'seriile dinamice active'!F4:AE318,123,FALSE)</f>
        <v>40326.754512597807</v>
      </c>
      <c r="M15" s="32">
        <f>HLOOKUP(F7,'seriile dinamice active'!F4:AE318,124,FALSE)</f>
        <v>234.16720605</v>
      </c>
      <c r="N15" s="33">
        <f>E15+M15</f>
        <v>90478.778795092017</v>
      </c>
      <c r="O15" s="26"/>
    </row>
    <row r="16" spans="2:16" ht="27.75" customHeight="1" outlineLevel="1" x14ac:dyDescent="0.35">
      <c r="B16" s="16"/>
      <c r="C16" s="106" t="s">
        <v>12</v>
      </c>
      <c r="D16" s="106"/>
      <c r="E16" s="32">
        <f t="shared" si="1"/>
        <v>15918.976817000002</v>
      </c>
      <c r="F16" s="32">
        <f>HLOOKUP(F7,'seriile dinamice active'!F4:AE318,162,FALSE)</f>
        <v>4845.0589070000005</v>
      </c>
      <c r="G16" s="32">
        <f t="shared" si="4"/>
        <v>14.157118999999998</v>
      </c>
      <c r="H16" s="32">
        <f>HLOOKUP(F7,'seriile dinamice active'!F4:AE318,164,FALSE)</f>
        <v>14.157118999999998</v>
      </c>
      <c r="I16" s="9"/>
      <c r="J16" s="32">
        <f>HLOOKUP(F7,'seriile dinamice active'!F4:AE318,166,FALSE)</f>
        <v>0</v>
      </c>
      <c r="K16" s="32">
        <f>HLOOKUP(F7,'seriile dinamice active'!F4:AE318,167,FALSE)</f>
        <v>0</v>
      </c>
      <c r="L16" s="32">
        <f>HLOOKUP(F7,'seriile dinamice active'!F4:AE318,168,FALSE)</f>
        <v>11059.760791000001</v>
      </c>
      <c r="M16" s="32">
        <f>HLOOKUP(F7,'seriile dinamice active'!F4:AE318,169,FALSE)</f>
        <v>43.622374000000001</v>
      </c>
      <c r="N16" s="33">
        <f t="shared" si="2"/>
        <v>15962.599191000003</v>
      </c>
      <c r="O16" s="26"/>
    </row>
    <row r="17" spans="2:16" ht="27.75" customHeight="1" outlineLevel="1" x14ac:dyDescent="0.35">
      <c r="B17" s="16"/>
      <c r="C17" s="106" t="s">
        <v>13</v>
      </c>
      <c r="D17" s="106"/>
      <c r="E17" s="32">
        <f t="shared" si="1"/>
        <v>0.13051069999998807</v>
      </c>
      <c r="F17" s="32">
        <f>HLOOKUP(F7,'seriile dinamice active'!F4:AE318,207,FALSE)</f>
        <v>0.13051069999998807</v>
      </c>
      <c r="G17" s="32">
        <f t="shared" si="4"/>
        <v>0</v>
      </c>
      <c r="H17" s="32">
        <f>HLOOKUP(F7,'seriile dinamice active'!F4:AE318,209,FALSE)</f>
        <v>0</v>
      </c>
      <c r="I17" s="32">
        <f>HLOOKUP(F7,'seriile dinamice active'!F4:AE318,210,FALSE)</f>
        <v>0</v>
      </c>
      <c r="J17" s="9"/>
      <c r="K17" s="32">
        <f>HLOOKUP(F7,'seriile dinamice active'!F4:AE318,212,FALSE)</f>
        <v>0</v>
      </c>
      <c r="L17" s="32">
        <f>HLOOKUP(F7,'seriile dinamice active'!F4:AE318,213,FALSE)</f>
        <v>0</v>
      </c>
      <c r="M17" s="32">
        <f>HLOOKUP(F7,'seriile dinamice active'!F4:AE318,214,FALSE)</f>
        <v>0</v>
      </c>
      <c r="N17" s="33">
        <f t="shared" si="2"/>
        <v>0.13051069999998807</v>
      </c>
      <c r="O17" s="26"/>
    </row>
    <row r="18" spans="2:16" ht="27.75" customHeight="1" x14ac:dyDescent="0.35">
      <c r="B18" s="16"/>
      <c r="C18" s="103" t="s">
        <v>14</v>
      </c>
      <c r="D18" s="103"/>
      <c r="E18" s="10">
        <f t="shared" si="1"/>
        <v>19790.878876207396</v>
      </c>
      <c r="F18" s="10">
        <f>HLOOKUP(F7,'seriile dinamice active'!F4:AE318,252,FALSE)</f>
        <v>3381.427083727398</v>
      </c>
      <c r="G18" s="10">
        <f t="shared" si="4"/>
        <v>16409.451792479998</v>
      </c>
      <c r="H18" s="32">
        <f>HLOOKUP(F7,'seriile dinamice active'!F4:AE318,254,FALSE)</f>
        <v>16409.451792479998</v>
      </c>
      <c r="I18" s="32">
        <f>HLOOKUP(F7,'seriile dinamice active'!F4:AE318,255,FALSE)</f>
        <v>0</v>
      </c>
      <c r="J18" s="32">
        <f>HLOOKUP(F7,'seriile dinamice active'!F4:AE318,256,FALSE)</f>
        <v>0</v>
      </c>
      <c r="K18" s="9"/>
      <c r="L18" s="10">
        <f>HLOOKUP(F7,'seriile dinamice active'!F4:AE318,258,FALSE)</f>
        <v>0</v>
      </c>
      <c r="M18" s="10">
        <f>HLOOKUP(F7,'seriile dinamice active'!F4:AE318,259,FALSE)</f>
        <v>0</v>
      </c>
      <c r="N18" s="11">
        <f t="shared" si="2"/>
        <v>19790.878876207396</v>
      </c>
      <c r="O18" s="26"/>
    </row>
    <row r="19" spans="2:16" ht="27.75" customHeight="1" x14ac:dyDescent="0.35">
      <c r="B19" s="16"/>
      <c r="C19" s="103" t="s">
        <v>25</v>
      </c>
      <c r="D19" s="103"/>
      <c r="E19" s="10">
        <f t="shared" si="1"/>
        <v>306.84696100000002</v>
      </c>
      <c r="F19" s="10">
        <f>HLOOKUP(F7,'seriile dinamice active'!F4:AE318,297,FALSE)</f>
        <v>0</v>
      </c>
      <c r="G19" s="10">
        <f t="shared" si="4"/>
        <v>306.84696100000002</v>
      </c>
      <c r="H19" s="32">
        <f>HLOOKUP(F7,'seriile dinamice active'!F4:AE318,299,FALSE)</f>
        <v>0</v>
      </c>
      <c r="I19" s="32">
        <f>HLOOKUP(F7,'seriile dinamice active'!F4:AE318,300,FALSE)</f>
        <v>306.84696100000002</v>
      </c>
      <c r="J19" s="32">
        <f>HLOOKUP(F7,'seriile dinamice active'!F4:AE318,301,FALSE)</f>
        <v>0</v>
      </c>
      <c r="K19" s="10">
        <f>HLOOKUP(F7,'seriile dinamice active'!F4:AE318,302,FALSE)</f>
        <v>0</v>
      </c>
      <c r="L19" s="9"/>
      <c r="M19" s="10">
        <f>HLOOKUP(F7,'seriile dinamice active'!F4:AE318,304,FALSE)</f>
        <v>0</v>
      </c>
      <c r="N19" s="11">
        <f t="shared" si="2"/>
        <v>306.84696100000002</v>
      </c>
      <c r="O19" s="26"/>
    </row>
    <row r="20" spans="2:16" ht="27.75" customHeight="1" x14ac:dyDescent="0.35">
      <c r="B20" s="16"/>
      <c r="C20" s="103" t="s">
        <v>15</v>
      </c>
      <c r="D20" s="103"/>
      <c r="E20" s="10">
        <f t="shared" si="1"/>
        <v>123318.33440219</v>
      </c>
      <c r="F20" s="10">
        <f>HLOOKUP(F7,'seriile dinamice pasive '!F4:AE230,23,FALSE)</f>
        <v>42870.041829000002</v>
      </c>
      <c r="G20" s="10">
        <f t="shared" si="4"/>
        <v>8744.8134941900007</v>
      </c>
      <c r="H20" s="32">
        <f>HLOOKUP(F7,'seriile dinamice pasive '!F4:AE230,113,FALSE)</f>
        <v>3445.5210301900001</v>
      </c>
      <c r="I20" s="32">
        <f>HLOOKUP(F7,'seriile dinamice pasive '!F4:AE230,147,FALSE)</f>
        <v>5299.2924640000001</v>
      </c>
      <c r="J20" s="32">
        <f>HLOOKUP(F7,'seriile dinamice pasive '!F4:AE230,181,FALSE)</f>
        <v>0</v>
      </c>
      <c r="K20" s="10">
        <f>HLOOKUP(F7,'seriile dinamice pasive '!F4:AE230,215,FALSE)</f>
        <v>70303.229900999999</v>
      </c>
      <c r="L20" s="10">
        <f>HLOOKUP(F7,'seriile dinamice pasive '!F4:AE230,227,FALSE)</f>
        <v>1400.249178</v>
      </c>
      <c r="M20" s="9"/>
      <c r="N20" s="11">
        <f t="shared" si="2"/>
        <v>123318.33440219</v>
      </c>
      <c r="O20" s="26"/>
    </row>
    <row r="21" spans="2:16" ht="27.75" customHeight="1" x14ac:dyDescent="0.35">
      <c r="B21" s="16"/>
      <c r="C21" s="109" t="s">
        <v>4</v>
      </c>
      <c r="D21" s="109"/>
      <c r="E21" s="11">
        <f>F21+G21+L21+K21</f>
        <v>250122.11289913941</v>
      </c>
      <c r="F21" s="11">
        <f t="shared" ref="F21:M21" si="5">+F20+F12</f>
        <v>96423.4115398016</v>
      </c>
      <c r="G21" s="11">
        <f t="shared" si="5"/>
        <v>29591.282342899998</v>
      </c>
      <c r="H21" s="33">
        <f t="shared" si="5"/>
        <v>19887.037256669999</v>
      </c>
      <c r="I21" s="33">
        <f t="shared" si="5"/>
        <v>9704.2450862299993</v>
      </c>
      <c r="J21" s="33">
        <f t="shared" si="5"/>
        <v>0</v>
      </c>
      <c r="K21" s="11">
        <f t="shared" si="5"/>
        <v>71320.654534839996</v>
      </c>
      <c r="L21" s="11">
        <f t="shared" si="5"/>
        <v>52786.764481597806</v>
      </c>
      <c r="M21" s="11">
        <f t="shared" si="5"/>
        <v>5461.1301180500004</v>
      </c>
      <c r="N21" s="12"/>
      <c r="O21" s="31"/>
    </row>
    <row r="22" spans="2:16" x14ac:dyDescent="0.35">
      <c r="B22" s="16"/>
      <c r="O22" s="19"/>
    </row>
    <row r="23" spans="2:16" x14ac:dyDescent="0.35">
      <c r="B23" s="16"/>
      <c r="O23" s="19"/>
    </row>
    <row r="24" spans="2:16" x14ac:dyDescent="0.35">
      <c r="B24" s="16"/>
      <c r="F24" s="27"/>
      <c r="L24" s="27"/>
      <c r="O24" s="19"/>
    </row>
    <row r="25" spans="2:16" ht="20.5" x14ac:dyDescent="0.45">
      <c r="B25" s="16"/>
      <c r="C25" s="24" t="s">
        <v>6</v>
      </c>
      <c r="D25" s="20"/>
      <c r="E25" s="20"/>
      <c r="F25" s="20"/>
      <c r="G25" s="20"/>
      <c r="H25" s="20"/>
      <c r="I25" s="20"/>
      <c r="J25" s="20"/>
      <c r="K25" s="20"/>
      <c r="L25" s="20"/>
      <c r="M25" s="20"/>
      <c r="N25" s="20"/>
      <c r="O25" s="21"/>
    </row>
    <row r="26" spans="2:16" ht="9.75" customHeight="1" x14ac:dyDescent="0.45">
      <c r="B26" s="16"/>
      <c r="C26" s="20"/>
      <c r="D26" s="20"/>
      <c r="E26" s="20"/>
      <c r="F26" s="20"/>
      <c r="G26" s="20"/>
      <c r="H26" s="20"/>
      <c r="I26" s="20"/>
      <c r="J26" s="20"/>
      <c r="K26" s="20"/>
      <c r="L26" s="20"/>
      <c r="M26" s="20"/>
      <c r="N26" s="20"/>
      <c r="O26" s="21"/>
      <c r="P26" s="2"/>
    </row>
    <row r="27" spans="2:16" ht="18" customHeight="1" x14ac:dyDescent="0.4">
      <c r="B27" s="16"/>
      <c r="C27" s="5"/>
      <c r="D27" s="6" t="s">
        <v>3</v>
      </c>
      <c r="E27" s="103" t="s">
        <v>9</v>
      </c>
      <c r="F27" s="103" t="s">
        <v>10</v>
      </c>
      <c r="G27" s="103" t="s">
        <v>11</v>
      </c>
      <c r="H27" s="110" t="s">
        <v>21</v>
      </c>
      <c r="I27" s="106" t="s">
        <v>12</v>
      </c>
      <c r="J27" s="106" t="s">
        <v>13</v>
      </c>
      <c r="K27" s="103" t="s">
        <v>14</v>
      </c>
      <c r="L27" s="103" t="s">
        <v>25</v>
      </c>
      <c r="M27" s="103" t="s">
        <v>15</v>
      </c>
      <c r="N27" s="109" t="s">
        <v>4</v>
      </c>
      <c r="O27" s="25"/>
    </row>
    <row r="28" spans="2:16" ht="18" customHeight="1" x14ac:dyDescent="0.4">
      <c r="B28" s="16"/>
      <c r="C28" s="7" t="s">
        <v>5</v>
      </c>
      <c r="D28" s="8"/>
      <c r="E28" s="103"/>
      <c r="F28" s="103"/>
      <c r="G28" s="103"/>
      <c r="H28" s="111"/>
      <c r="I28" s="106"/>
      <c r="J28" s="106"/>
      <c r="K28" s="103"/>
      <c r="L28" s="103"/>
      <c r="M28" s="103"/>
      <c r="N28" s="109"/>
      <c r="O28" s="25"/>
    </row>
    <row r="29" spans="2:16" ht="27.75" customHeight="1" x14ac:dyDescent="0.35">
      <c r="B29" s="16"/>
      <c r="C29" s="103" t="s">
        <v>9</v>
      </c>
      <c r="D29" s="103"/>
      <c r="E29" s="9"/>
      <c r="F29" s="10">
        <f>F31+F35+F36</f>
        <v>0</v>
      </c>
      <c r="G29" s="10">
        <f>G30+G35+G36+G31</f>
        <v>223774.35646233</v>
      </c>
      <c r="H29" s="32">
        <f>H30+H35+H36+H31</f>
        <v>223774.35646233</v>
      </c>
      <c r="I29" s="32">
        <f>I30+I35+I36+I31</f>
        <v>0</v>
      </c>
      <c r="J29" s="32">
        <f>J30+J35+J36+J31</f>
        <v>0</v>
      </c>
      <c r="K29" s="10">
        <f>F31+F30+F36</f>
        <v>0</v>
      </c>
      <c r="L29" s="10">
        <f>L31+L35+L30</f>
        <v>0</v>
      </c>
      <c r="M29" s="10">
        <f>M30+M31+M35+M36</f>
        <v>37367.434030489996</v>
      </c>
      <c r="N29" s="11">
        <f>N31+N35+N36+N30</f>
        <v>261141.79049282</v>
      </c>
      <c r="O29" s="26"/>
      <c r="P29" s="3"/>
    </row>
    <row r="30" spans="2:16" ht="27.75" customHeight="1" x14ac:dyDescent="0.35">
      <c r="B30" s="16"/>
      <c r="C30" s="103" t="s">
        <v>10</v>
      </c>
      <c r="D30" s="103"/>
      <c r="E30" s="10">
        <f t="shared" ref="E30:E37" si="6">F30+G30+K30+L30</f>
        <v>64659.895283202306</v>
      </c>
      <c r="F30" s="9"/>
      <c r="G30" s="10">
        <f>H30+J30+I30</f>
        <v>64659.895283202306</v>
      </c>
      <c r="H30" s="32">
        <f>HLOOKUP(F7,'seriile dinamice active'!F4:AE318,7,FALSE)</f>
        <v>64659.895283202306</v>
      </c>
      <c r="I30" s="32">
        <f>HLOOKUP(F7,'seriile dinamice active'!F4:AE318,8,FALSE)</f>
        <v>0</v>
      </c>
      <c r="J30" s="32">
        <f>HLOOKUP(F7,'seriile dinamice active'!F4:AE318,9,FALSE)</f>
        <v>0</v>
      </c>
      <c r="K30" s="10">
        <f>HLOOKUP(F7,'seriile dinamice active'!F4:AE318,10,FALSE)</f>
        <v>0</v>
      </c>
      <c r="L30" s="10">
        <f>HLOOKUP(F7,'seriile dinamice active'!F4:AE318,11,FALSE)</f>
        <v>0</v>
      </c>
      <c r="M30" s="10">
        <f>HLOOKUP(F7,'seriile dinamice active'!F4:AE318,12,FALSE)</f>
        <v>45.096985662344807</v>
      </c>
      <c r="N30" s="11">
        <f t="shared" ref="N30:N37" si="7">E30+M30</f>
        <v>64704.992268864647</v>
      </c>
      <c r="O30" s="26"/>
      <c r="P30" s="4"/>
    </row>
    <row r="31" spans="2:16" ht="27.75" customHeight="1" x14ac:dyDescent="0.35">
      <c r="B31" s="16"/>
      <c r="C31" s="103" t="s">
        <v>11</v>
      </c>
      <c r="D31" s="103"/>
      <c r="E31" s="10">
        <f t="shared" si="6"/>
        <v>37240.85367995</v>
      </c>
      <c r="F31" s="10">
        <f>+F32+F33+F34</f>
        <v>0</v>
      </c>
      <c r="G31" s="10">
        <f>SUM(G32:G34)</f>
        <v>37240.85367995</v>
      </c>
      <c r="H31" s="32">
        <f t="shared" ref="H31:M31" si="8">+H32+H34+H33</f>
        <v>37240.85367995</v>
      </c>
      <c r="I31" s="32">
        <f t="shared" si="8"/>
        <v>0</v>
      </c>
      <c r="J31" s="32">
        <f t="shared" si="8"/>
        <v>0</v>
      </c>
      <c r="K31" s="10">
        <f>+F32+F34+F33</f>
        <v>0</v>
      </c>
      <c r="L31" s="10">
        <f t="shared" si="8"/>
        <v>0</v>
      </c>
      <c r="M31" s="10">
        <f t="shared" si="8"/>
        <v>33720.252393490002</v>
      </c>
      <c r="N31" s="11">
        <f t="shared" si="7"/>
        <v>70961.106073439994</v>
      </c>
      <c r="O31" s="26"/>
      <c r="P31" s="3"/>
    </row>
    <row r="32" spans="2:16" ht="27.75" customHeight="1" outlineLevel="1" x14ac:dyDescent="0.35">
      <c r="B32" s="16"/>
      <c r="C32" s="106" t="s">
        <v>21</v>
      </c>
      <c r="D32" s="106"/>
      <c r="E32" s="32">
        <f t="shared" si="6"/>
        <v>34881.942392860001</v>
      </c>
      <c r="F32" s="32">
        <f>HLOOKUP(F7,'seriile dinamice active'!F4:AE318,95,FALSE)</f>
        <v>0</v>
      </c>
      <c r="G32" s="32">
        <f t="shared" ref="G32:G37" si="9">H32+J32+I32</f>
        <v>34881.942392860001</v>
      </c>
      <c r="H32" s="32">
        <f>HLOOKUP(F7,'seriile dinamice active'!F4:AE318,97,FALSE)</f>
        <v>34881.942392860001</v>
      </c>
      <c r="I32" s="32">
        <f>HLOOKUP(F7,'seriile dinamice active'!F4:AE318,98,FALSE)</f>
        <v>0</v>
      </c>
      <c r="J32" s="32">
        <f>HLOOKUP(F7,'seriile dinamice active'!F4:AE318,99,FALSE)</f>
        <v>0</v>
      </c>
      <c r="K32" s="32">
        <f>HLOOKUP(F7,'seriile dinamice active'!F4:AE318,100,FALSE)</f>
        <v>0</v>
      </c>
      <c r="L32" s="32">
        <f>HLOOKUP(F7,'seriile dinamice active'!F4:AE318,101,FALSE)</f>
        <v>0</v>
      </c>
      <c r="M32" s="32">
        <f>HLOOKUP(F7,'seriile dinamice active'!F4:AE318,102,FALSE)</f>
        <v>33681.25219349</v>
      </c>
      <c r="N32" s="33">
        <f t="shared" si="7"/>
        <v>68563.19458635</v>
      </c>
      <c r="O32" s="26"/>
    </row>
    <row r="33" spans="2:16" ht="27.75" customHeight="1" outlineLevel="1" x14ac:dyDescent="0.35">
      <c r="B33" s="16"/>
      <c r="C33" s="106" t="s">
        <v>12</v>
      </c>
      <c r="D33" s="106"/>
      <c r="E33" s="32">
        <f t="shared" si="6"/>
        <v>1823.4374147843871</v>
      </c>
      <c r="F33" s="32">
        <f>HLOOKUP(F7,'seriile dinamice active'!F4:AE318,140,FALSE)</f>
        <v>0</v>
      </c>
      <c r="G33" s="32">
        <f t="shared" si="9"/>
        <v>1823.4374147843871</v>
      </c>
      <c r="H33" s="32">
        <f>HLOOKUP(F7,'seriile dinamice active'!F4:AE318,142,FALSE)</f>
        <v>1823.4374147843871</v>
      </c>
      <c r="I33" s="9"/>
      <c r="J33" s="32">
        <f>HLOOKUP(F7,'seriile dinamice active'!F4:AE318,144,FALSE)</f>
        <v>0</v>
      </c>
      <c r="K33" s="32">
        <f>HLOOKUP(F7,'seriile dinamice active'!F4:AE318,145,FALSE)</f>
        <v>0</v>
      </c>
      <c r="L33" s="32">
        <f>HLOOKUP(F7,'seriile dinamice active'!F4:AE318,146,FALSE)</f>
        <v>0</v>
      </c>
      <c r="M33" s="32">
        <f>HLOOKUP(F7,'seriile dinamice active'!F4:AE318,147,FALSE)</f>
        <v>38.214770000000001</v>
      </c>
      <c r="N33" s="33">
        <f t="shared" si="7"/>
        <v>1861.6521847843871</v>
      </c>
      <c r="O33" s="26"/>
    </row>
    <row r="34" spans="2:16" ht="27.75" customHeight="1" outlineLevel="1" x14ac:dyDescent="0.35">
      <c r="B34" s="16"/>
      <c r="C34" s="106" t="s">
        <v>13</v>
      </c>
      <c r="D34" s="106"/>
      <c r="E34" s="32">
        <f t="shared" si="6"/>
        <v>535.47387230561299</v>
      </c>
      <c r="F34" s="32">
        <f>HLOOKUP(F7,'seriile dinamice active'!F4:AE318,185,FALSE)</f>
        <v>0</v>
      </c>
      <c r="G34" s="32">
        <f t="shared" si="9"/>
        <v>535.47387230561299</v>
      </c>
      <c r="H34" s="32">
        <f>HLOOKUP(F7,'seriile dinamice active'!F4:AE318,187,FALSE)</f>
        <v>535.47387230561299</v>
      </c>
      <c r="I34" s="32">
        <f>HLOOKUP(F7,'seriile dinamice active'!F4:AE318,188,FALSE)</f>
        <v>0</v>
      </c>
      <c r="J34" s="9"/>
      <c r="K34" s="32">
        <f>HLOOKUP(F7,'seriile dinamice active'!F4:AE318,190,FALSE)</f>
        <v>0</v>
      </c>
      <c r="L34" s="32">
        <f>HLOOKUP(F7,'seriile dinamice active'!F4:AE318,191,FALSE)</f>
        <v>0</v>
      </c>
      <c r="M34" s="32">
        <f>HLOOKUP(F7,'seriile dinamice active'!F4:AE318,192,FALSE)</f>
        <v>0.78542999999999996</v>
      </c>
      <c r="N34" s="33">
        <f t="shared" si="7"/>
        <v>536.25930230561301</v>
      </c>
      <c r="O34" s="26"/>
    </row>
    <row r="35" spans="2:16" ht="27.75" customHeight="1" x14ac:dyDescent="0.35">
      <c r="B35" s="16"/>
      <c r="C35" s="103" t="s">
        <v>14</v>
      </c>
      <c r="D35" s="103"/>
      <c r="E35" s="10">
        <f t="shared" si="6"/>
        <v>16407.160824990002</v>
      </c>
      <c r="F35" s="10">
        <f>HLOOKUP(F7,'seriile dinamice active'!F4:AE318,230,FALSE)</f>
        <v>0</v>
      </c>
      <c r="G35" s="10">
        <f t="shared" si="9"/>
        <v>16407.160824990002</v>
      </c>
      <c r="H35" s="32">
        <f>HLOOKUP(F7,'seriile dinamice active'!F4:AE318,232,FALSE)</f>
        <v>16407.160824990002</v>
      </c>
      <c r="I35" s="32">
        <f>HLOOKUP(F7,'seriile dinamice active'!F4:AE318,233,FALSE)</f>
        <v>0</v>
      </c>
      <c r="J35" s="32">
        <f>HLOOKUP(F7,'seriile dinamice active'!F4:AE318,234,FALSE)</f>
        <v>0</v>
      </c>
      <c r="K35" s="9"/>
      <c r="L35" s="10">
        <f>HLOOKUP(F7,'seriile dinamice active'!F4:AE318,236,FALSE)</f>
        <v>0</v>
      </c>
      <c r="M35" s="10">
        <f>HLOOKUP(F7,'seriile dinamice active'!F4:AE318,237,FALSE)</f>
        <v>0</v>
      </c>
      <c r="N35" s="11">
        <f t="shared" si="7"/>
        <v>16407.160824990002</v>
      </c>
      <c r="O35" s="26"/>
    </row>
    <row r="36" spans="2:16" ht="27.75" customHeight="1" x14ac:dyDescent="0.35">
      <c r="B36" s="16"/>
      <c r="C36" s="103" t="s">
        <v>25</v>
      </c>
      <c r="D36" s="103"/>
      <c r="E36" s="10">
        <f t="shared" si="6"/>
        <v>105466.4466741877</v>
      </c>
      <c r="F36" s="10">
        <f>HLOOKUP(F7,'seriile dinamice active'!F4:AE318,275,FALSE)</f>
        <v>0</v>
      </c>
      <c r="G36" s="10">
        <f t="shared" si="9"/>
        <v>105466.4466741877</v>
      </c>
      <c r="H36" s="32">
        <f>HLOOKUP(F7,'seriile dinamice active'!F4:AE318,277,FALSE)</f>
        <v>105466.4466741877</v>
      </c>
      <c r="I36" s="32">
        <f>HLOOKUP(F7,'seriile dinamice active'!F4:AE318,278,FALSE)</f>
        <v>0</v>
      </c>
      <c r="J36" s="32">
        <f>HLOOKUP(F7,'seriile dinamice active'!F4:AE318,279,FALSE)</f>
        <v>0</v>
      </c>
      <c r="K36" s="10">
        <f>HLOOKUP(F7,'seriile dinamice active'!F4:AE318,280,FALSE)</f>
        <v>0</v>
      </c>
      <c r="L36" s="9"/>
      <c r="M36" s="10">
        <f>HLOOKUP(F7,'seriile dinamice active'!F4:AE318,282,FALSE)</f>
        <v>3602.0846513376546</v>
      </c>
      <c r="N36" s="11">
        <f t="shared" si="7"/>
        <v>109068.53132552536</v>
      </c>
      <c r="O36" s="26"/>
    </row>
    <row r="37" spans="2:16" ht="27.75" customHeight="1" x14ac:dyDescent="0.35">
      <c r="B37" s="16"/>
      <c r="C37" s="103" t="s">
        <v>15</v>
      </c>
      <c r="D37" s="103"/>
      <c r="E37" s="10">
        <f t="shared" si="6"/>
        <v>3268.8841241200003</v>
      </c>
      <c r="F37" s="10"/>
      <c r="G37" s="10">
        <f t="shared" si="9"/>
        <v>3268.8841241200003</v>
      </c>
      <c r="H37" s="32">
        <f>HLOOKUP(F7,'seriile dinamice pasive '!F4:AE230,91,FALSE)</f>
        <v>3268.8841241200003</v>
      </c>
      <c r="I37" s="32"/>
      <c r="J37" s="32"/>
      <c r="K37" s="10"/>
      <c r="L37" s="10"/>
      <c r="M37" s="9"/>
      <c r="N37" s="11">
        <f t="shared" si="7"/>
        <v>3268.8841241200003</v>
      </c>
      <c r="O37" s="26"/>
    </row>
    <row r="38" spans="2:16" ht="27.75" customHeight="1" x14ac:dyDescent="0.35">
      <c r="B38" s="16"/>
      <c r="C38" s="109" t="s">
        <v>4</v>
      </c>
      <c r="D38" s="109"/>
      <c r="E38" s="11">
        <f>F38+G38+L38+K38</f>
        <v>227043.24058645</v>
      </c>
      <c r="F38" s="11">
        <f t="shared" ref="F38:M38" si="10">+F37+F29</f>
        <v>0</v>
      </c>
      <c r="G38" s="11">
        <f t="shared" si="10"/>
        <v>227043.24058645</v>
      </c>
      <c r="H38" s="33">
        <f t="shared" si="10"/>
        <v>227043.24058645</v>
      </c>
      <c r="I38" s="33">
        <f t="shared" si="10"/>
        <v>0</v>
      </c>
      <c r="J38" s="33">
        <f t="shared" si="10"/>
        <v>0</v>
      </c>
      <c r="K38" s="11">
        <f>+F37+F29</f>
        <v>0</v>
      </c>
      <c r="L38" s="11">
        <f t="shared" si="10"/>
        <v>0</v>
      </c>
      <c r="M38" s="11">
        <f t="shared" si="10"/>
        <v>37367.434030489996</v>
      </c>
      <c r="N38" s="12"/>
      <c r="O38" s="31"/>
    </row>
    <row r="39" spans="2:16" x14ac:dyDescent="0.35">
      <c r="B39" s="16"/>
      <c r="O39" s="19"/>
    </row>
    <row r="40" spans="2:16" x14ac:dyDescent="0.35">
      <c r="B40" s="16"/>
      <c r="O40" s="19"/>
    </row>
    <row r="41" spans="2:16" x14ac:dyDescent="0.35">
      <c r="B41" s="16"/>
      <c r="O41" s="19"/>
    </row>
    <row r="42" spans="2:16" ht="20.5" x14ac:dyDescent="0.45">
      <c r="B42" s="16"/>
      <c r="C42" s="24" t="s">
        <v>7</v>
      </c>
      <c r="D42" s="20"/>
      <c r="E42" s="20"/>
      <c r="F42" s="20"/>
      <c r="G42" s="20"/>
      <c r="H42" s="20"/>
      <c r="I42" s="20"/>
      <c r="J42" s="20"/>
      <c r="K42" s="20"/>
      <c r="L42" s="20"/>
      <c r="M42" s="20"/>
      <c r="N42" s="20"/>
      <c r="O42" s="21"/>
    </row>
    <row r="43" spans="2:16" ht="9.75" customHeight="1" x14ac:dyDescent="0.45">
      <c r="B43" s="16"/>
      <c r="C43" s="20"/>
      <c r="D43" s="20"/>
      <c r="E43" s="20"/>
      <c r="F43" s="20"/>
      <c r="G43" s="20"/>
      <c r="H43" s="20"/>
      <c r="I43" s="20"/>
      <c r="J43" s="20"/>
      <c r="K43" s="20"/>
      <c r="L43" s="20"/>
      <c r="M43" s="20"/>
      <c r="N43" s="20"/>
      <c r="O43" s="21"/>
      <c r="P43" s="2"/>
    </row>
    <row r="44" spans="2:16" ht="18" customHeight="1" x14ac:dyDescent="0.4">
      <c r="B44" s="16"/>
      <c r="C44" s="5"/>
      <c r="D44" s="6" t="s">
        <v>3</v>
      </c>
      <c r="E44" s="103" t="s">
        <v>9</v>
      </c>
      <c r="F44" s="103" t="s">
        <v>10</v>
      </c>
      <c r="G44" s="103" t="s">
        <v>11</v>
      </c>
      <c r="H44" s="106" t="s">
        <v>21</v>
      </c>
      <c r="I44" s="106" t="s">
        <v>12</v>
      </c>
      <c r="J44" s="106" t="s">
        <v>13</v>
      </c>
      <c r="K44" s="103" t="s">
        <v>14</v>
      </c>
      <c r="L44" s="103" t="s">
        <v>25</v>
      </c>
      <c r="M44" s="103" t="s">
        <v>15</v>
      </c>
      <c r="N44" s="109" t="s">
        <v>4</v>
      </c>
      <c r="O44" s="25"/>
    </row>
    <row r="45" spans="2:16" ht="18" customHeight="1" x14ac:dyDescent="0.4">
      <c r="B45" s="16"/>
      <c r="C45" s="7" t="s">
        <v>5</v>
      </c>
      <c r="D45" s="8"/>
      <c r="E45" s="103"/>
      <c r="F45" s="103"/>
      <c r="G45" s="103"/>
      <c r="H45" s="106"/>
      <c r="I45" s="106"/>
      <c r="J45" s="106"/>
      <c r="K45" s="103"/>
      <c r="L45" s="103"/>
      <c r="M45" s="103"/>
      <c r="N45" s="109"/>
      <c r="O45" s="25"/>
    </row>
    <row r="46" spans="2:16" ht="27.75" customHeight="1" x14ac:dyDescent="0.35">
      <c r="B46" s="16"/>
      <c r="C46" s="103" t="s">
        <v>9</v>
      </c>
      <c r="D46" s="103"/>
      <c r="E46" s="9"/>
      <c r="F46" s="10">
        <f>F48+F52+F53</f>
        <v>4.2811339999999998</v>
      </c>
      <c r="G46" s="10">
        <f>G47+G52+G53+G48</f>
        <v>7541.0226905299996</v>
      </c>
      <c r="H46" s="32">
        <f>H47+H52+H53+H48</f>
        <v>7541.0226905299996</v>
      </c>
      <c r="I46" s="32">
        <f>I47+I52+I53+I48</f>
        <v>0</v>
      </c>
      <c r="J46" s="32">
        <f>J47+J52+J53+J48</f>
        <v>0</v>
      </c>
      <c r="K46" s="10">
        <f>K47+K52+K53+K48</f>
        <v>42215.65622664673</v>
      </c>
      <c r="L46" s="10">
        <f>L48+L52+L47</f>
        <v>0</v>
      </c>
      <c r="M46" s="10">
        <f>M47+M48+M52+M53</f>
        <v>82520.985461989985</v>
      </c>
      <c r="N46" s="11">
        <f>N48+N52+N53+N47</f>
        <v>132281.94551316672</v>
      </c>
      <c r="O46" s="26"/>
      <c r="P46" s="3"/>
    </row>
    <row r="47" spans="2:16" ht="27.75" customHeight="1" x14ac:dyDescent="0.35">
      <c r="B47" s="16"/>
      <c r="C47" s="103" t="s">
        <v>10</v>
      </c>
      <c r="D47" s="103"/>
      <c r="E47" s="10">
        <f t="shared" ref="E47:E54" si="11">F47+G47+K47+L47</f>
        <v>1676.1715053609951</v>
      </c>
      <c r="F47" s="9"/>
      <c r="G47" s="10">
        <f>H47+J47+I47</f>
        <v>0</v>
      </c>
      <c r="H47" s="32">
        <f>HLOOKUP(F7,'seriile dinamice active'!F4:AE318,18,FALSE)</f>
        <v>0</v>
      </c>
      <c r="I47" s="32">
        <f>HLOOKUP(F7,'seriile dinamice active'!F4:AE318,19,FALSE)</f>
        <v>0</v>
      </c>
      <c r="J47" s="32">
        <f>HLOOKUP(F7,'seriile dinamice active'!F4:AE318,20,FALSE)</f>
        <v>0</v>
      </c>
      <c r="K47" s="10">
        <f>HLOOKUP(F7,'seriile dinamice active'!F4:AE318,21,FALSE)</f>
        <v>1676.1715053609951</v>
      </c>
      <c r="L47" s="10">
        <f>HLOOKUP(F7,'seriile dinamice active'!F4:AE318,22,FALSE)</f>
        <v>0</v>
      </c>
      <c r="M47" s="10">
        <f>HLOOKUP(F7,'seriile dinamice active'!F4:AE318,23,FALSE)</f>
        <v>0</v>
      </c>
      <c r="N47" s="11">
        <f t="shared" ref="N47:N54" si="12">E47+M47</f>
        <v>1676.1715053609951</v>
      </c>
      <c r="O47" s="26"/>
      <c r="P47" s="4"/>
    </row>
    <row r="48" spans="2:16" ht="27.75" customHeight="1" x14ac:dyDescent="0.35">
      <c r="B48" s="16"/>
      <c r="C48" s="103" t="s">
        <v>11</v>
      </c>
      <c r="D48" s="103"/>
      <c r="E48" s="10">
        <f t="shared" si="11"/>
        <v>47367.200431815734</v>
      </c>
      <c r="F48" s="10">
        <f>F50+F49+F51</f>
        <v>4.2811339999999998</v>
      </c>
      <c r="G48" s="10">
        <f>SUM(G49:G51)</f>
        <v>6823.4345765299995</v>
      </c>
      <c r="H48" s="32">
        <f t="shared" ref="H48:M48" si="13">+H51+H49+H50</f>
        <v>6823.4345765299995</v>
      </c>
      <c r="I48" s="32">
        <f t="shared" si="13"/>
        <v>0</v>
      </c>
      <c r="J48" s="32">
        <f t="shared" si="13"/>
        <v>0</v>
      </c>
      <c r="K48" s="10">
        <f>+K51+K49+K50</f>
        <v>40539.484721285735</v>
      </c>
      <c r="L48" s="10">
        <f t="shared" si="13"/>
        <v>0</v>
      </c>
      <c r="M48" s="10">
        <f t="shared" si="13"/>
        <v>82520.985461989985</v>
      </c>
      <c r="N48" s="11">
        <f t="shared" si="12"/>
        <v>129888.18589380573</v>
      </c>
      <c r="O48" s="26"/>
      <c r="P48" s="3"/>
    </row>
    <row r="49" spans="2:16" ht="27.75" customHeight="1" outlineLevel="1" x14ac:dyDescent="0.35">
      <c r="B49" s="16"/>
      <c r="C49" s="106" t="s">
        <v>21</v>
      </c>
      <c r="D49" s="106"/>
      <c r="E49" s="32">
        <f t="shared" si="11"/>
        <v>44561.889952760001</v>
      </c>
      <c r="F49" s="32">
        <f>HLOOKUP(F7,'seriile dinamice active'!F4:AE318,106,FALSE)</f>
        <v>1.34E-4</v>
      </c>
      <c r="G49" s="32">
        <f t="shared" ref="G49:G54" si="14">H49+J49+I49</f>
        <v>6823.4345765299995</v>
      </c>
      <c r="H49" s="32">
        <f>HLOOKUP(F7,'seriile dinamice active'!F4:AE318,108,FALSE)</f>
        <v>6823.4345765299995</v>
      </c>
      <c r="I49" s="32">
        <f>HLOOKUP(F7,'seriile dinamice active'!F4:AE318,109,FALSE)</f>
        <v>0</v>
      </c>
      <c r="J49" s="32">
        <f>HLOOKUP(F7,'seriile dinamice active'!F4:AE318,110,FALSE)</f>
        <v>0</v>
      </c>
      <c r="K49" s="32">
        <f>HLOOKUP(F7,'seriile dinamice active'!F4:AE318,111,FALSE)</f>
        <v>37738.455242230004</v>
      </c>
      <c r="L49" s="32">
        <f>HLOOKUP(F7,'seriile dinamice active'!F4:AE318,112,FALSE)</f>
        <v>0</v>
      </c>
      <c r="M49" s="32">
        <f>HLOOKUP(F7,'seriile dinamice active'!F4:AE318,113,FALSE)</f>
        <v>82482.644111989983</v>
      </c>
      <c r="N49" s="33">
        <f t="shared" si="12"/>
        <v>127044.53406474998</v>
      </c>
      <c r="O49" s="26"/>
    </row>
    <row r="50" spans="2:16" ht="27.75" customHeight="1" outlineLevel="1" x14ac:dyDescent="0.35">
      <c r="B50" s="16"/>
      <c r="C50" s="106" t="s">
        <v>12</v>
      </c>
      <c r="D50" s="106"/>
      <c r="E50" s="32">
        <f t="shared" si="11"/>
        <v>14.128916000000167</v>
      </c>
      <c r="F50" s="32">
        <f>HLOOKUP(F7,'seriile dinamice active'!F4:AE318,151,FALSE)</f>
        <v>4.2809999999999997</v>
      </c>
      <c r="G50" s="32">
        <f t="shared" si="14"/>
        <v>0</v>
      </c>
      <c r="H50" s="32">
        <f>HLOOKUP(F7,'seriile dinamice active'!F4:AE318,153,FALSE)</f>
        <v>0</v>
      </c>
      <c r="I50" s="9"/>
      <c r="J50" s="32">
        <f>HLOOKUP(F7,'seriile dinamice active'!F4:AE318,155,FALSE)</f>
        <v>0</v>
      </c>
      <c r="K50" s="32">
        <f>HLOOKUP(F7,'seriile dinamice active'!F4:AE318,156,FALSE)</f>
        <v>9.8479160000001684</v>
      </c>
      <c r="L50" s="32">
        <f>HLOOKUP(F7,'seriile dinamice active'!F4:AE318,157,FALSE)</f>
        <v>0</v>
      </c>
      <c r="M50" s="32">
        <f>HLOOKUP(F7,'seriile dinamice active'!F4:AE318,158,FALSE)</f>
        <v>0</v>
      </c>
      <c r="N50" s="33">
        <f t="shared" si="12"/>
        <v>14.128916000000167</v>
      </c>
      <c r="O50" s="26"/>
    </row>
    <row r="51" spans="2:16" ht="27.75" customHeight="1" outlineLevel="1" x14ac:dyDescent="0.35">
      <c r="B51" s="16"/>
      <c r="C51" s="106" t="s">
        <v>13</v>
      </c>
      <c r="D51" s="106"/>
      <c r="E51" s="32">
        <f t="shared" si="11"/>
        <v>2791.1815630557353</v>
      </c>
      <c r="F51" s="32">
        <f>HLOOKUP(F7,'seriile dinamice active'!F4:AE318,196,FALSE)</f>
        <v>0</v>
      </c>
      <c r="G51" s="32">
        <f t="shared" si="14"/>
        <v>0</v>
      </c>
      <c r="H51" s="32">
        <f>HLOOKUP(F7,'seriile dinamice active'!F4:AE318,198,FALSE)</f>
        <v>0</v>
      </c>
      <c r="I51" s="32">
        <f>HLOOKUP(F7,'seriile dinamice active'!F4:AE318,199,FALSE)</f>
        <v>0</v>
      </c>
      <c r="J51" s="9"/>
      <c r="K51" s="32">
        <f>HLOOKUP(F7,'seriile dinamice active'!F4:AE318,201,FALSE)</f>
        <v>2791.1815630557353</v>
      </c>
      <c r="L51" s="32">
        <f>HLOOKUP(F7,'seriile dinamice active'!F4:AE318,202,FALSE)</f>
        <v>0</v>
      </c>
      <c r="M51" s="32">
        <f>HLOOKUP(F7,'seriile dinamice active'!F4:AE318,203,FALSE)</f>
        <v>38.341349999999998</v>
      </c>
      <c r="N51" s="33">
        <f t="shared" si="12"/>
        <v>2829.5229130557354</v>
      </c>
      <c r="O51" s="26"/>
    </row>
    <row r="52" spans="2:16" ht="27.75" customHeight="1" x14ac:dyDescent="0.35">
      <c r="B52" s="16"/>
      <c r="C52" s="103" t="s">
        <v>14</v>
      </c>
      <c r="D52" s="103"/>
      <c r="E52" s="10">
        <f t="shared" si="11"/>
        <v>0</v>
      </c>
      <c r="F52" s="10">
        <f>HLOOKUP(F7,'seriile dinamice active'!F4:AE318,241,FALSE)</f>
        <v>0</v>
      </c>
      <c r="G52" s="10">
        <f t="shared" si="14"/>
        <v>0</v>
      </c>
      <c r="H52" s="32">
        <f>HLOOKUP(F7,'seriile dinamice active'!F4:AE318,243,FALSE)</f>
        <v>0</v>
      </c>
      <c r="I52" s="32">
        <f>HLOOKUP(F7,'seriile dinamice active'!F4:AE318,244,FALSE)</f>
        <v>0</v>
      </c>
      <c r="J52" s="32">
        <f>HLOOKUP(F7,'seriile dinamice active'!F4:AE318,245,FALSE)</f>
        <v>0</v>
      </c>
      <c r="K52" s="9"/>
      <c r="L52" s="10">
        <f>HLOOKUP(F7,'seriile dinamice active'!F4:AE318,247,FALSE)</f>
        <v>0</v>
      </c>
      <c r="M52" s="10">
        <f>HLOOKUP(F7,'seriile dinamice active'!F4:AE318,248,FALSE)</f>
        <v>0</v>
      </c>
      <c r="N52" s="11">
        <f t="shared" si="12"/>
        <v>0</v>
      </c>
      <c r="O52" s="26"/>
    </row>
    <row r="53" spans="2:16" ht="27.75" customHeight="1" x14ac:dyDescent="0.35">
      <c r="B53" s="16"/>
      <c r="C53" s="103" t="s">
        <v>25</v>
      </c>
      <c r="D53" s="103"/>
      <c r="E53" s="10">
        <f t="shared" si="11"/>
        <v>717.58811400000002</v>
      </c>
      <c r="F53" s="10">
        <f>HLOOKUP(F7,'seriile dinamice active'!F4:AE318,286,FALSE)</f>
        <v>0</v>
      </c>
      <c r="G53" s="10">
        <f t="shared" si="14"/>
        <v>717.58811400000002</v>
      </c>
      <c r="H53" s="32">
        <f>HLOOKUP(F7,'seriile dinamice active'!F4:AE318,288,FALSE)</f>
        <v>717.58811400000002</v>
      </c>
      <c r="I53" s="32">
        <f>HLOOKUP(F7,'seriile dinamice active'!F4:AE318,289,FALSE)</f>
        <v>0</v>
      </c>
      <c r="J53" s="32">
        <f>HLOOKUP(F7,'seriile dinamice active'!F4:AE318,290,FALSE)</f>
        <v>0</v>
      </c>
      <c r="K53" s="10">
        <f>HLOOKUP(F7,'seriile dinamice active'!F4:AE318,291,FALSE)</f>
        <v>0</v>
      </c>
      <c r="L53" s="9"/>
      <c r="M53" s="10">
        <f>HLOOKUP(F7,'seriile dinamice active'!F4:AE318,293,FALSE)</f>
        <v>0</v>
      </c>
      <c r="N53" s="11">
        <f t="shared" si="12"/>
        <v>717.58811400000002</v>
      </c>
      <c r="O53" s="26"/>
    </row>
    <row r="54" spans="2:16" ht="27.75" customHeight="1" x14ac:dyDescent="0.35">
      <c r="B54" s="16"/>
      <c r="C54" s="103" t="s">
        <v>15</v>
      </c>
      <c r="D54" s="103"/>
      <c r="E54" s="10">
        <f t="shared" si="11"/>
        <v>11139.90083465</v>
      </c>
      <c r="F54" s="10">
        <f>HLOOKUP(F7,'seriile dinamice pasive '!F4:AE230,12,FALSE)</f>
        <v>9997.7574719999993</v>
      </c>
      <c r="G54" s="10">
        <f t="shared" si="14"/>
        <v>1133.1188126500001</v>
      </c>
      <c r="H54" s="32">
        <f>HLOOKUP(F7,'seriile dinamice pasive '!F4:AE230,102,FALSE)</f>
        <v>1133.1188126500001</v>
      </c>
      <c r="I54" s="32">
        <f>HLOOKUP(F7,'seriile dinamice pasive '!F4:AE230,136,FALSE)</f>
        <v>0</v>
      </c>
      <c r="J54" s="32">
        <f>HLOOKUP(F7,'seriile dinamice pasive '!F4:AE230,170,FALSE)</f>
        <v>0</v>
      </c>
      <c r="K54" s="10">
        <f>HLOOKUP(F7,'seriile dinamice pasive '!F4:AE230,204,FALSE)</f>
        <v>9.0245499999999996</v>
      </c>
      <c r="L54" s="10"/>
      <c r="M54" s="9"/>
      <c r="N54" s="11">
        <f t="shared" si="12"/>
        <v>11139.90083465</v>
      </c>
      <c r="O54" s="26"/>
    </row>
    <row r="55" spans="2:16" ht="27.75" customHeight="1" x14ac:dyDescent="0.35">
      <c r="B55" s="16"/>
      <c r="C55" s="109" t="s">
        <v>4</v>
      </c>
      <c r="D55" s="109"/>
      <c r="E55" s="11">
        <f>F55+G55+L55+K55</f>
        <v>60900.860885826733</v>
      </c>
      <c r="F55" s="11">
        <f>+F54+F46</f>
        <v>10002.038606</v>
      </c>
      <c r="G55" s="11">
        <f>+G54+G46</f>
        <v>8674.1415031799988</v>
      </c>
      <c r="H55" s="33">
        <f>+H54+H46</f>
        <v>8674.1415031799988</v>
      </c>
      <c r="I55" s="33">
        <f t="shared" ref="I55:L55" si="15">+I54+I46</f>
        <v>0</v>
      </c>
      <c r="J55" s="33">
        <f t="shared" si="15"/>
        <v>0</v>
      </c>
      <c r="K55" s="11">
        <f>+K54+K46</f>
        <v>42224.680776646732</v>
      </c>
      <c r="L55" s="11">
        <f t="shared" si="15"/>
        <v>0</v>
      </c>
      <c r="M55" s="11">
        <f>+M54+M46</f>
        <v>82520.985461989985</v>
      </c>
      <c r="N55" s="12"/>
      <c r="O55" s="31"/>
    </row>
    <row r="56" spans="2:16" x14ac:dyDescent="0.35">
      <c r="B56" s="16"/>
      <c r="O56" s="19"/>
    </row>
    <row r="57" spans="2:16" x14ac:dyDescent="0.35">
      <c r="B57" s="16"/>
      <c r="O57" s="19"/>
    </row>
    <row r="58" spans="2:16" x14ac:dyDescent="0.35">
      <c r="B58" s="16"/>
      <c r="O58" s="19"/>
    </row>
    <row r="59" spans="2:16" ht="20.5" x14ac:dyDescent="0.45">
      <c r="B59" s="16"/>
      <c r="C59" s="24" t="s">
        <v>8</v>
      </c>
      <c r="D59" s="20"/>
      <c r="E59" s="20"/>
      <c r="F59" s="20"/>
      <c r="G59" s="20"/>
      <c r="H59" s="20"/>
      <c r="I59" s="20"/>
      <c r="J59" s="20"/>
      <c r="K59" s="20"/>
      <c r="L59" s="20"/>
      <c r="M59" s="20"/>
      <c r="N59" s="20"/>
      <c r="O59" s="21"/>
    </row>
    <row r="60" spans="2:16" ht="9.75" customHeight="1" x14ac:dyDescent="0.45">
      <c r="B60" s="16"/>
      <c r="C60" s="20"/>
      <c r="D60" s="20"/>
      <c r="E60" s="20"/>
      <c r="F60" s="20"/>
      <c r="G60" s="20"/>
      <c r="H60" s="20"/>
      <c r="I60" s="20"/>
      <c r="J60" s="20"/>
      <c r="K60" s="20"/>
      <c r="L60" s="20"/>
      <c r="M60" s="20"/>
      <c r="N60" s="20"/>
      <c r="O60" s="21"/>
      <c r="P60" s="2"/>
    </row>
    <row r="61" spans="2:16" ht="18" customHeight="1" x14ac:dyDescent="0.4">
      <c r="B61" s="16"/>
      <c r="C61" s="5"/>
      <c r="D61" s="6" t="s">
        <v>3</v>
      </c>
      <c r="E61" s="103" t="s">
        <v>9</v>
      </c>
      <c r="F61" s="103" t="s">
        <v>10</v>
      </c>
      <c r="G61" s="103" t="s">
        <v>11</v>
      </c>
      <c r="H61" s="106" t="s">
        <v>21</v>
      </c>
      <c r="I61" s="106" t="s">
        <v>12</v>
      </c>
      <c r="J61" s="106" t="s">
        <v>13</v>
      </c>
      <c r="K61" s="103" t="s">
        <v>14</v>
      </c>
      <c r="L61" s="103" t="s">
        <v>25</v>
      </c>
      <c r="M61" s="103" t="s">
        <v>15</v>
      </c>
      <c r="N61" s="109" t="s">
        <v>4</v>
      </c>
      <c r="O61" s="25"/>
    </row>
    <row r="62" spans="2:16" ht="18" customHeight="1" x14ac:dyDescent="0.4">
      <c r="B62" s="16"/>
      <c r="C62" s="7" t="s">
        <v>5</v>
      </c>
      <c r="D62" s="8"/>
      <c r="E62" s="103"/>
      <c r="F62" s="103"/>
      <c r="G62" s="103"/>
      <c r="H62" s="106"/>
      <c r="I62" s="106"/>
      <c r="J62" s="106"/>
      <c r="K62" s="103"/>
      <c r="L62" s="103"/>
      <c r="M62" s="103"/>
      <c r="N62" s="109"/>
      <c r="O62" s="25"/>
    </row>
    <row r="63" spans="2:16" ht="27.75" customHeight="1" x14ac:dyDescent="0.35">
      <c r="B63" s="16"/>
      <c r="C63" s="103" t="s">
        <v>9</v>
      </c>
      <c r="D63" s="103"/>
      <c r="E63" s="9"/>
      <c r="F63" s="10">
        <f>F65+F69+F70</f>
        <v>200310.8450668866</v>
      </c>
      <c r="G63" s="10">
        <f>G64+G69+G70+G65</f>
        <v>38815.683574513008</v>
      </c>
      <c r="H63" s="32">
        <f>H64+H69+H70+H65</f>
        <v>33989.895866031315</v>
      </c>
      <c r="I63" s="32">
        <f>I64+I69+I70+I65</f>
        <v>3805.1234204429961</v>
      </c>
      <c r="J63" s="32">
        <f>J64+J69+J70+J65</f>
        <v>1020.6642880386996</v>
      </c>
      <c r="K63" s="10">
        <f>K65+K64+K70</f>
        <v>0</v>
      </c>
      <c r="L63" s="10">
        <f>L65+L69+L64</f>
        <v>0</v>
      </c>
      <c r="M63" s="10">
        <f>M64+M65+M69+M70</f>
        <v>7600.5778099999998</v>
      </c>
      <c r="N63" s="11">
        <f>N65+N69+N70+N64</f>
        <v>246727.1064513996</v>
      </c>
      <c r="O63" s="26"/>
      <c r="P63" s="3"/>
    </row>
    <row r="64" spans="2:16" ht="27.75" customHeight="1" x14ac:dyDescent="0.35">
      <c r="B64" s="16"/>
      <c r="C64" s="103" t="s">
        <v>10</v>
      </c>
      <c r="D64" s="103"/>
      <c r="E64" s="10">
        <f t="shared" ref="E64:E71" si="16">F64+G64+K64+L64</f>
        <v>13329.804480983505</v>
      </c>
      <c r="F64" s="9"/>
      <c r="G64" s="10">
        <f>H64+J64+I64</f>
        <v>13329.804480983505</v>
      </c>
      <c r="H64" s="32">
        <f>HLOOKUP(F7,'seriile dinamice active'!F4:AE318,40,FALSE)</f>
        <v>12134.992205893008</v>
      </c>
      <c r="I64" s="32">
        <f>HLOOKUP(F7,'seriile dinamice active'!F4:AE318,41,FALSE)</f>
        <v>754.18247168859921</v>
      </c>
      <c r="J64" s="32">
        <f>HLOOKUP(F7,'seriile dinamice active'!F4:AE318,42,FALSE)</f>
        <v>440.62980340189853</v>
      </c>
      <c r="K64" s="10">
        <f>HLOOKUP(F7,'seriile dinamice active'!F4:AE318,43,FALSE)</f>
        <v>0</v>
      </c>
      <c r="L64" s="10">
        <f>HLOOKUP(F7,'seriile dinamice active'!F4:AE318,44,FALSE)</f>
        <v>0</v>
      </c>
      <c r="M64" s="10">
        <f>HLOOKUP(F7,'seriile dinamice active'!F4:AE318,45,FALSE)</f>
        <v>7448.3220969999993</v>
      </c>
      <c r="N64" s="11">
        <f t="shared" ref="N64:N71" si="17">E64+M64</f>
        <v>20778.126577983505</v>
      </c>
      <c r="O64" s="26"/>
      <c r="P64" s="4"/>
    </row>
    <row r="65" spans="2:16" ht="27.75" customHeight="1" x14ac:dyDescent="0.35">
      <c r="B65" s="16"/>
      <c r="C65" s="103" t="s">
        <v>11</v>
      </c>
      <c r="D65" s="103"/>
      <c r="E65" s="10">
        <f t="shared" si="16"/>
        <v>401.92217641501009</v>
      </c>
      <c r="F65" s="10">
        <f>+F66+F67+F68</f>
        <v>298.12265330000002</v>
      </c>
      <c r="G65" s="10">
        <f>SUM(G66:G68)</f>
        <v>103.79952311501003</v>
      </c>
      <c r="H65" s="32">
        <f t="shared" ref="H65:M65" si="18">+H66+H68+H67</f>
        <v>39.734780000000001</v>
      </c>
      <c r="I65" s="32">
        <f t="shared" si="18"/>
        <v>34.211061999999998</v>
      </c>
      <c r="J65" s="32">
        <f t="shared" si="18"/>
        <v>29.853681115010026</v>
      </c>
      <c r="K65" s="10">
        <f>+K66+K67+K68</f>
        <v>0</v>
      </c>
      <c r="L65" s="10">
        <f t="shared" si="18"/>
        <v>0</v>
      </c>
      <c r="M65" s="10">
        <f t="shared" si="18"/>
        <v>145.21656400000001</v>
      </c>
      <c r="N65" s="11">
        <f t="shared" si="17"/>
        <v>547.13874041501003</v>
      </c>
      <c r="O65" s="26"/>
      <c r="P65" s="3"/>
    </row>
    <row r="66" spans="2:16" ht="27.75" customHeight="1" outlineLevel="1" x14ac:dyDescent="0.35">
      <c r="B66" s="16"/>
      <c r="C66" s="106" t="s">
        <v>21</v>
      </c>
      <c r="D66" s="106"/>
      <c r="E66" s="32">
        <f t="shared" si="16"/>
        <v>85.121184115010038</v>
      </c>
      <c r="F66" s="32">
        <f>HLOOKUP(F7,'seriile dinamice active'!F4:AE318,128,FALSE)</f>
        <v>21.056441</v>
      </c>
      <c r="G66" s="32">
        <f t="shared" ref="G66:G71" si="19">H66+J66+I66</f>
        <v>64.064743115010032</v>
      </c>
      <c r="H66" s="9">
        <f>HLOOKUP(F7,'seriile dinamice active'!F4:AE318,130,FALSE)</f>
        <v>0</v>
      </c>
      <c r="I66" s="32">
        <f>HLOOKUP(F7,'seriile dinamice active'!F4:AE318,131,FALSE)</f>
        <v>34.211061999999998</v>
      </c>
      <c r="J66" s="32">
        <f>HLOOKUP(F7,'seriile dinamice active'!F4:AE318,132,FALSE)</f>
        <v>29.853681115010026</v>
      </c>
      <c r="K66" s="32">
        <f>HLOOKUP(F7,'seriile dinamice active'!F4:AE318,133,FALSE)</f>
        <v>0</v>
      </c>
      <c r="L66" s="32">
        <f>HLOOKUP(F7,'seriile dinamice active'!F4:AE318,134,FALSE)</f>
        <v>0</v>
      </c>
      <c r="M66" s="32">
        <f>HLOOKUP(F7,'seriile dinamice active'!F4:AE318,135,FALSE)</f>
        <v>10.866901</v>
      </c>
      <c r="N66" s="33">
        <f t="shared" si="17"/>
        <v>95.988085115010037</v>
      </c>
      <c r="O66" s="26"/>
    </row>
    <row r="67" spans="2:16" ht="27.75" customHeight="1" outlineLevel="1" x14ac:dyDescent="0.35">
      <c r="B67" s="16"/>
      <c r="C67" s="106" t="s">
        <v>12</v>
      </c>
      <c r="D67" s="106"/>
      <c r="E67" s="32">
        <f t="shared" si="16"/>
        <v>108.91067300000002</v>
      </c>
      <c r="F67" s="32">
        <f>HLOOKUP(F7,'seriile dinamice active'!F4:AE318,173,FALSE)</f>
        <v>69.175893000000016</v>
      </c>
      <c r="G67" s="32">
        <f t="shared" si="19"/>
        <v>39.734780000000001</v>
      </c>
      <c r="H67" s="32">
        <f>HLOOKUP(F7,'seriile dinamice active'!F4:AE318,175,FALSE)</f>
        <v>39.734780000000001</v>
      </c>
      <c r="I67" s="9"/>
      <c r="J67" s="32">
        <f>HLOOKUP(F7,'seriile dinamice active'!F4:AE318,177,FALSE)</f>
        <v>0</v>
      </c>
      <c r="K67" s="32">
        <f>HLOOKUP(F7,'seriile dinamice active'!F4:AE318,178,FALSE)</f>
        <v>0</v>
      </c>
      <c r="L67" s="32">
        <f>HLOOKUP(F7,'seriile dinamice active'!F4:AE318,179,FALSE)</f>
        <v>0</v>
      </c>
      <c r="M67" s="32">
        <f>HLOOKUP(F7,'seriile dinamice active'!F4:AE318,180,FALSE)</f>
        <v>21.937677999999991</v>
      </c>
      <c r="N67" s="33">
        <f t="shared" si="17"/>
        <v>130.84835100000001</v>
      </c>
      <c r="O67" s="26"/>
    </row>
    <row r="68" spans="2:16" ht="27.75" customHeight="1" outlineLevel="1" x14ac:dyDescent="0.35">
      <c r="B68" s="16"/>
      <c r="C68" s="106" t="s">
        <v>13</v>
      </c>
      <c r="D68" s="106"/>
      <c r="E68" s="32">
        <f t="shared" si="16"/>
        <v>207.89031930000002</v>
      </c>
      <c r="F68" s="32">
        <f>HLOOKUP(F7,'seriile dinamice active'!F4:AE318,218,FALSE)</f>
        <v>207.89031930000002</v>
      </c>
      <c r="G68" s="32">
        <f t="shared" si="19"/>
        <v>0</v>
      </c>
      <c r="H68" s="32">
        <f>HLOOKUP(F7,'seriile dinamice active'!F4:AE318,220,FALSE)</f>
        <v>0</v>
      </c>
      <c r="I68" s="32">
        <f>HLOOKUP(F7,'seriile dinamice active'!F4:AE318,221,FALSE)</f>
        <v>0</v>
      </c>
      <c r="J68" s="9"/>
      <c r="K68" s="32">
        <f>HLOOKUP(F7,'seriile dinamice active'!F4:AE318,223,FALSE)</f>
        <v>0</v>
      </c>
      <c r="L68" s="32">
        <f>HLOOKUP(F7,'seriile dinamice active'!F4:AE318,224,FALSE)</f>
        <v>0</v>
      </c>
      <c r="M68" s="32">
        <f>HLOOKUP(F7,'seriile dinamice active'!F4:AE318,225,FALSE)</f>
        <v>112.411985</v>
      </c>
      <c r="N68" s="33">
        <f t="shared" si="17"/>
        <v>320.3023043</v>
      </c>
      <c r="O68" s="26"/>
    </row>
    <row r="69" spans="2:16" ht="27.75" customHeight="1" x14ac:dyDescent="0.35">
      <c r="B69" s="16"/>
      <c r="C69" s="103" t="s">
        <v>14</v>
      </c>
      <c r="D69" s="103"/>
      <c r="E69" s="10">
        <f t="shared" si="16"/>
        <v>63321.292699381891</v>
      </c>
      <c r="F69" s="10">
        <f>HLOOKUP(F7,'seriile dinamice active'!F4:AE318,263,FALSE)</f>
        <v>53666.503748311894</v>
      </c>
      <c r="G69" s="10">
        <f t="shared" si="19"/>
        <v>9654.7889510699988</v>
      </c>
      <c r="H69" s="32">
        <f>HLOOKUP(F7,'seriile dinamice active'!F4:AE318,265,FALSE)</f>
        <v>9654.7889510699988</v>
      </c>
      <c r="I69" s="32">
        <f>HLOOKUP(F7,'seriile dinamice active'!F4:AE318,266,FALSE)</f>
        <v>0</v>
      </c>
      <c r="J69" s="32">
        <f>HLOOKUP(F7,'seriile dinamice active'!F4:AE318,267,FALSE)</f>
        <v>0</v>
      </c>
      <c r="K69" s="9"/>
      <c r="L69" s="10">
        <f>HLOOKUP(F7,'seriile dinamice active'!F4:AE318,269,FALSE)</f>
        <v>0</v>
      </c>
      <c r="M69" s="10">
        <f>HLOOKUP(F7,'seriile dinamice active'!F4:AE318,270,FALSE)</f>
        <v>7.0391490000000001</v>
      </c>
      <c r="N69" s="11">
        <f t="shared" si="17"/>
        <v>63328.331848381888</v>
      </c>
      <c r="O69" s="26"/>
    </row>
    <row r="70" spans="2:16" ht="27.75" customHeight="1" x14ac:dyDescent="0.35">
      <c r="B70" s="16"/>
      <c r="C70" s="103" t="s">
        <v>25</v>
      </c>
      <c r="D70" s="103"/>
      <c r="E70" s="10">
        <f t="shared" si="16"/>
        <v>162073.50928461921</v>
      </c>
      <c r="F70" s="10">
        <f>HLOOKUP(F7,'seriile dinamice active'!F4:AE318,308,FALSE)</f>
        <v>146346.2186652747</v>
      </c>
      <c r="G70" s="10">
        <f t="shared" si="19"/>
        <v>15727.290619344498</v>
      </c>
      <c r="H70" s="32">
        <f>HLOOKUP(F7,'seriile dinamice active'!F4:AE318,310,FALSE)</f>
        <v>12160.379929068309</v>
      </c>
      <c r="I70" s="32">
        <f>HLOOKUP(F7,'seriile dinamice active'!F4:AE318,311,FALSE)</f>
        <v>3016.7298867543968</v>
      </c>
      <c r="J70" s="32">
        <f>HLOOKUP(F7,'seriile dinamice active'!F4:AE318,312,FALSE)</f>
        <v>550.18080352179118</v>
      </c>
      <c r="K70" s="10">
        <f>HLOOKUP(F7,'seriile dinamice active'!F4:AE318,313,FALSE)</f>
        <v>0</v>
      </c>
      <c r="L70" s="9"/>
      <c r="M70" s="10">
        <f>HLOOKUP(F7,'seriile dinamice active'!F4:AE318,315,FALSE)</f>
        <v>0</v>
      </c>
      <c r="N70" s="11">
        <f t="shared" si="17"/>
        <v>162073.50928461921</v>
      </c>
      <c r="O70" s="26"/>
    </row>
    <row r="71" spans="2:16" ht="27.75" customHeight="1" x14ac:dyDescent="0.35">
      <c r="B71" s="16"/>
      <c r="C71" s="103" t="s">
        <v>15</v>
      </c>
      <c r="D71" s="103"/>
      <c r="E71" s="10">
        <f t="shared" si="16"/>
        <v>79286.621381745063</v>
      </c>
      <c r="F71" s="10">
        <f>HLOOKUP(F7,'seriile dinamice pasive '!F4:AE230,34,FALSE)</f>
        <v>43208.442148574904</v>
      </c>
      <c r="G71" s="10">
        <f t="shared" si="19"/>
        <v>36078.179233170151</v>
      </c>
      <c r="H71" s="32">
        <f>HLOOKUP(F7,'seriile dinamice pasive '!F4:AE230,124,FALSE)</f>
        <v>31684.204127460944</v>
      </c>
      <c r="I71" s="32">
        <f>HLOOKUP(F7,'seriile dinamice pasive '!F4:AE230,158,FALSE)</f>
        <v>3722.4326085570033</v>
      </c>
      <c r="J71" s="32">
        <f>HLOOKUP(F7,'seriile dinamice pasive '!F4:AE230,192,FALSE)</f>
        <v>671.54249715220226</v>
      </c>
      <c r="K71" s="10"/>
      <c r="L71" s="10"/>
      <c r="M71" s="9"/>
      <c r="N71" s="11">
        <f t="shared" si="17"/>
        <v>79286.621381745063</v>
      </c>
      <c r="O71" s="26"/>
    </row>
    <row r="72" spans="2:16" ht="27.75" customHeight="1" x14ac:dyDescent="0.35">
      <c r="B72" s="16"/>
      <c r="C72" s="109" t="s">
        <v>4</v>
      </c>
      <c r="D72" s="109"/>
      <c r="E72" s="11">
        <f>F72+G72+L72+K72</f>
        <v>318413.15002314467</v>
      </c>
      <c r="F72" s="11">
        <f t="shared" ref="F72:M72" si="20">+F71+F63</f>
        <v>243519.28721546149</v>
      </c>
      <c r="G72" s="11">
        <f t="shared" si="20"/>
        <v>74893.862807683152</v>
      </c>
      <c r="H72" s="33">
        <f t="shared" si="20"/>
        <v>65674.099993492258</v>
      </c>
      <c r="I72" s="33">
        <f t="shared" si="20"/>
        <v>7527.5560289999994</v>
      </c>
      <c r="J72" s="33">
        <f t="shared" si="20"/>
        <v>1692.2067851909019</v>
      </c>
      <c r="K72" s="11">
        <f>+K71+K63</f>
        <v>0</v>
      </c>
      <c r="L72" s="11">
        <f t="shared" si="20"/>
        <v>0</v>
      </c>
      <c r="M72" s="11">
        <f t="shared" si="20"/>
        <v>7600.5778099999998</v>
      </c>
      <c r="N72" s="12"/>
      <c r="O72" s="31"/>
    </row>
    <row r="73" spans="2:16" x14ac:dyDescent="0.35">
      <c r="B73" s="16"/>
      <c r="O73" s="19"/>
    </row>
    <row r="74" spans="2:16" x14ac:dyDescent="0.35">
      <c r="B74" s="16"/>
      <c r="O74" s="19"/>
    </row>
    <row r="75" spans="2:16" x14ac:dyDescent="0.35">
      <c r="B75" s="16"/>
      <c r="O75" s="19"/>
    </row>
    <row r="76" spans="2:16" x14ac:dyDescent="0.35">
      <c r="B76" s="16"/>
      <c r="O76" s="19"/>
    </row>
    <row r="77" spans="2:16" x14ac:dyDescent="0.35">
      <c r="B77" s="16"/>
      <c r="O77" s="19"/>
    </row>
    <row r="78" spans="2:16" x14ac:dyDescent="0.35">
      <c r="B78" s="28"/>
      <c r="C78" s="29"/>
      <c r="D78" s="29"/>
      <c r="E78" s="29"/>
      <c r="F78" s="29"/>
      <c r="G78" s="29"/>
      <c r="H78" s="29"/>
      <c r="I78" s="29"/>
      <c r="J78" s="29"/>
      <c r="K78" s="29"/>
      <c r="L78" s="29"/>
      <c r="M78" s="29"/>
      <c r="N78" s="29"/>
      <c r="O78" s="30"/>
    </row>
    <row r="79" spans="2:16" ht="30.75" customHeight="1" x14ac:dyDescent="0.35"/>
  </sheetData>
  <mergeCells count="83">
    <mergeCell ref="C71:D71"/>
    <mergeCell ref="C72:D72"/>
    <mergeCell ref="C66:D66"/>
    <mergeCell ref="C67:D67"/>
    <mergeCell ref="C68:D68"/>
    <mergeCell ref="C69:D69"/>
    <mergeCell ref="C70:D70"/>
    <mergeCell ref="L61:L62"/>
    <mergeCell ref="M61:M62"/>
    <mergeCell ref="N61:N62"/>
    <mergeCell ref="C63:D63"/>
    <mergeCell ref="C64:D64"/>
    <mergeCell ref="K61:K62"/>
    <mergeCell ref="C65:D65"/>
    <mergeCell ref="G61:G62"/>
    <mergeCell ref="H61:H62"/>
    <mergeCell ref="I61:I62"/>
    <mergeCell ref="J61:J62"/>
    <mergeCell ref="F61:F62"/>
    <mergeCell ref="C52:D52"/>
    <mergeCell ref="C53:D53"/>
    <mergeCell ref="C54:D54"/>
    <mergeCell ref="C55:D55"/>
    <mergeCell ref="E61:E62"/>
    <mergeCell ref="C47:D47"/>
    <mergeCell ref="C48:D48"/>
    <mergeCell ref="C49:D49"/>
    <mergeCell ref="C50:D50"/>
    <mergeCell ref="C51:D51"/>
    <mergeCell ref="J44:J45"/>
    <mergeCell ref="K44:K45"/>
    <mergeCell ref="L44:L45"/>
    <mergeCell ref="M44:M45"/>
    <mergeCell ref="N44:N45"/>
    <mergeCell ref="C46:D46"/>
    <mergeCell ref="E44:E45"/>
    <mergeCell ref="F44:F45"/>
    <mergeCell ref="G44:G45"/>
    <mergeCell ref="H44:H45"/>
    <mergeCell ref="I44:I45"/>
    <mergeCell ref="C33:D33"/>
    <mergeCell ref="C34:D34"/>
    <mergeCell ref="C35:D35"/>
    <mergeCell ref="C36:D36"/>
    <mergeCell ref="C37:D37"/>
    <mergeCell ref="C38:D38"/>
    <mergeCell ref="N27:N28"/>
    <mergeCell ref="C29:D29"/>
    <mergeCell ref="C30:D30"/>
    <mergeCell ref="C31:D31"/>
    <mergeCell ref="C32:D32"/>
    <mergeCell ref="I27:I28"/>
    <mergeCell ref="J27:J28"/>
    <mergeCell ref="K27:K28"/>
    <mergeCell ref="L27:L28"/>
    <mergeCell ref="M27:M28"/>
    <mergeCell ref="H27:H28"/>
    <mergeCell ref="C20:D20"/>
    <mergeCell ref="C21:D21"/>
    <mergeCell ref="E27:E28"/>
    <mergeCell ref="F27:F28"/>
    <mergeCell ref="G27:G28"/>
    <mergeCell ref="C15:D15"/>
    <mergeCell ref="C16:D16"/>
    <mergeCell ref="C17:D17"/>
    <mergeCell ref="C18:D18"/>
    <mergeCell ref="C19:D19"/>
    <mergeCell ref="C14:D14"/>
    <mergeCell ref="C3:N3"/>
    <mergeCell ref="C6:N6"/>
    <mergeCell ref="E10:E11"/>
    <mergeCell ref="F10:F11"/>
    <mergeCell ref="G10:G11"/>
    <mergeCell ref="H10:H11"/>
    <mergeCell ref="I10:I11"/>
    <mergeCell ref="J10:J11"/>
    <mergeCell ref="K10:K11"/>
    <mergeCell ref="C7:E7"/>
    <mergeCell ref="L10:L11"/>
    <mergeCell ref="M10:M11"/>
    <mergeCell ref="N10:N11"/>
    <mergeCell ref="C12:D12"/>
    <mergeCell ref="C13:D13"/>
  </mergeCells>
  <conditionalFormatting sqref="E15:M15 E32:M32 E66:G66 I66:M66">
    <cfRule type="expression" dxfId="50" priority="3">
      <formula>#REF!=0</formula>
    </cfRule>
    <cfRule type="expression" dxfId="49" priority="4">
      <formula>#REF!=0</formula>
    </cfRule>
  </conditionalFormatting>
  <conditionalFormatting sqref="F12:G12 K12:M14 E13 G13:G14 E14:F14 L18:M18 E18:G20 K19 M19 K20:L20 F29:G29 K29:M31 E30:E31 G30:G31 F31 L35:M35 E35:G37 K36 M36 K37:L37 F46:G46 K46:M48 E47 G47:G48 E48:F48 L52:M52 E52:G54 K53 M53 K54:L54 F63:G63 K63:M65 E64 G64:G65 E65:F65 L69:M69 E69:G71 K70 M70 K71:L71">
    <cfRule type="expression" dxfId="48" priority="1">
      <formula>ABS(#REF!)&lt;0.001</formula>
    </cfRule>
  </conditionalFormatting>
  <conditionalFormatting sqref="H12:J14 E16:H16 J16:M16 E17:I17 K17:M17 H18:J20 H29:J31 F33:H33 J33:M33 E33:E34 F34:I34 K34:M34 H35:J37 H46:J48 I49:M49 E49:H50 J50:M50 E51:I51 K51:M51 H52:J54 H63:J65 E67:H67 J67:M67 E68:I68 K68:M68 H69:J71">
    <cfRule type="expression" dxfId="47" priority="2">
      <formula>ABS(#REF!)&lt;0.001</formula>
    </cfRule>
  </conditionalFormatting>
  <pageMargins left="0.70866141732283472" right="0.70866141732283472" top="0.74803149606299213" bottom="0.74803149606299213" header="0.31496062992125984" footer="0.31496062992125984"/>
  <pageSetup paperSize="8" scale="39" orientation="landscape" horizontalDpi="300" verticalDpi="300" r:id="rId1"/>
  <headerFooter>
    <oddHeader xml:space="preserve">&amp;L&amp;8
</oddHeader>
    <oddFooter xml:space="preserve">&amp;L&amp;8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Perioada" prompt="Vă rugăm să selectați perioada" xr:uid="{BE084CC3-D6F3-47D4-ABDF-4107ED2443DB}">
          <x14:formula1>
            <xm:f>'index list'!$A$2:$A$27</xm:f>
          </x14:formula1>
          <xm:sqref>F7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3747-A640-4A3F-B4A5-1027C3AB42E3}">
  <sheetPr codeName="Sheet4">
    <tabColor rgb="FF93AB9D"/>
    <pageSetUpPr fitToPage="1"/>
  </sheetPr>
  <dimension ref="A1:AE320"/>
  <sheetViews>
    <sheetView topLeftCell="B1" workbookViewId="0">
      <pane xSplit="4" ySplit="4" topLeftCell="F5" activePane="bottomRight" state="frozen"/>
      <selection activeCell="U17" sqref="U17"/>
      <selection pane="topRight" activeCell="U17" sqref="U17"/>
      <selection pane="bottomLeft" activeCell="U17" sqref="U17"/>
      <selection pane="bottomRight" activeCell="AE2" sqref="AE2"/>
    </sheetView>
  </sheetViews>
  <sheetFormatPr defaultColWidth="0" defaultRowHeight="14.5" zeroHeight="1" x14ac:dyDescent="0.35"/>
  <cols>
    <col min="1" max="1" customWidth="true" hidden="true" style="57" width="6.1796875" collapsed="false"/>
    <col min="2" max="3" customWidth="true" style="35" width="3.81640625" collapsed="false"/>
    <col min="4" max="4" customWidth="true" style="35" width="14.453125" collapsed="false"/>
    <col min="5" max="5" customWidth="true" style="35" width="39.0" collapsed="false"/>
    <col min="6" max="31" customWidth="true" style="43" width="10.81640625" collapsed="false"/>
    <col min="32" max="32" customWidth="true" hidden="true" style="43" width="10.81640625" collapsed="false"/>
    <col min="33" max="16384" hidden="true" style="43" width="10.81640625" collapsed="false"/>
  </cols>
  <sheetData>
    <row r="1" spans="1:31" s="35" customFormat="1" ht="60" customHeight="1" x14ac:dyDescent="0.35">
      <c r="A1" s="57"/>
      <c r="B1" s="48" t="s">
        <v>54</v>
      </c>
      <c r="C1" s="48"/>
      <c r="D1" s="48"/>
      <c r="E1" s="48"/>
    </row>
    <row r="2" spans="1:31" s="39" customFormat="1" ht="18" customHeight="1" x14ac:dyDescent="0.35">
      <c r="A2" s="57"/>
      <c r="B2" s="36"/>
      <c r="C2" s="36"/>
      <c r="D2" s="36"/>
      <c r="E2" s="35"/>
      <c r="F2" s="37">
        <v>2015</v>
      </c>
      <c r="G2" s="37">
        <v>2016</v>
      </c>
      <c r="H2" s="37">
        <v>2017</v>
      </c>
      <c r="I2" s="37">
        <v>2018</v>
      </c>
      <c r="J2" s="37">
        <v>2019</v>
      </c>
      <c r="K2" s="37">
        <v>2020</v>
      </c>
      <c r="L2" s="38"/>
      <c r="N2" s="40"/>
      <c r="O2" s="37">
        <v>2021</v>
      </c>
      <c r="P2" s="38"/>
      <c r="S2" s="37">
        <v>2022</v>
      </c>
      <c r="T2" s="38"/>
      <c r="W2" s="37">
        <v>2023</v>
      </c>
      <c r="AA2" s="37">
        <v>2024</v>
      </c>
      <c r="AE2" s="37">
        <v>2025</v>
      </c>
    </row>
    <row r="3" spans="1:31" s="90" customFormat="1" ht="18" customHeight="1" x14ac:dyDescent="0.35">
      <c r="A3" s="57"/>
      <c r="B3" s="34" t="s">
        <v>27</v>
      </c>
      <c r="C3" s="41"/>
      <c r="D3" s="41"/>
      <c r="E3" s="35"/>
      <c r="F3" s="90">
        <v>42369</v>
      </c>
      <c r="G3" s="95">
        <v>42735</v>
      </c>
      <c r="H3" s="95">
        <v>43100</v>
      </c>
      <c r="I3" s="95">
        <v>43465</v>
      </c>
      <c r="J3" s="95">
        <v>43830</v>
      </c>
      <c r="K3" s="91">
        <v>43921</v>
      </c>
      <c r="L3" s="90">
        <v>44012</v>
      </c>
      <c r="M3" s="90">
        <v>44104</v>
      </c>
      <c r="N3" s="90">
        <v>44196</v>
      </c>
      <c r="O3" s="91">
        <v>44286</v>
      </c>
      <c r="P3" s="90">
        <v>44377</v>
      </c>
      <c r="Q3" s="90">
        <v>44469</v>
      </c>
      <c r="R3" s="90">
        <v>44561</v>
      </c>
      <c r="S3" s="91">
        <v>44651</v>
      </c>
      <c r="T3" s="90">
        <v>44742</v>
      </c>
      <c r="U3" s="90">
        <v>44834</v>
      </c>
      <c r="V3" s="90">
        <v>44926</v>
      </c>
      <c r="W3" s="91">
        <v>45016</v>
      </c>
      <c r="X3" s="90">
        <v>45107</v>
      </c>
      <c r="Y3" s="90">
        <v>45199</v>
      </c>
      <c r="Z3" s="90">
        <v>45291</v>
      </c>
      <c r="AA3" s="91">
        <v>45382</v>
      </c>
      <c r="AB3" s="90">
        <v>45473</v>
      </c>
      <c r="AC3" s="90">
        <v>45565</v>
      </c>
      <c r="AD3" s="90">
        <v>45657</v>
      </c>
      <c r="AE3" s="91">
        <v>45747</v>
      </c>
    </row>
    <row r="4" spans="1:31" s="92" customFormat="1" ht="15.75" customHeight="1" x14ac:dyDescent="0.35">
      <c r="A4" s="57">
        <v>1</v>
      </c>
      <c r="B4" s="60"/>
      <c r="C4" s="60"/>
      <c r="D4" s="60"/>
      <c r="E4" s="59"/>
      <c r="F4" s="92">
        <v>42369</v>
      </c>
      <c r="G4" s="92">
        <v>42735</v>
      </c>
      <c r="H4" s="92">
        <v>43100</v>
      </c>
      <c r="I4" s="92">
        <v>43465</v>
      </c>
      <c r="J4" s="92">
        <v>43830</v>
      </c>
      <c r="K4" s="92">
        <v>43921</v>
      </c>
      <c r="L4" s="92">
        <v>44012</v>
      </c>
      <c r="M4" s="92">
        <v>44104</v>
      </c>
      <c r="N4" s="92">
        <v>44196</v>
      </c>
      <c r="O4" s="92">
        <v>44286</v>
      </c>
      <c r="P4" s="92">
        <v>44377</v>
      </c>
      <c r="Q4" s="92">
        <v>44469</v>
      </c>
      <c r="R4" s="92">
        <v>44561</v>
      </c>
      <c r="S4" s="92">
        <v>44651</v>
      </c>
      <c r="T4" s="92">
        <v>44742</v>
      </c>
      <c r="U4" s="92">
        <v>44834</v>
      </c>
      <c r="V4" s="92">
        <v>44926</v>
      </c>
      <c r="W4" s="92">
        <v>45016</v>
      </c>
      <c r="X4" s="92">
        <v>45107</v>
      </c>
      <c r="Y4" s="92">
        <v>45199</v>
      </c>
      <c r="Z4" s="92">
        <v>45291</v>
      </c>
      <c r="AA4" s="92">
        <v>45382</v>
      </c>
      <c r="AB4" s="92">
        <v>45473</v>
      </c>
      <c r="AC4" s="92">
        <v>45565</v>
      </c>
      <c r="AD4" s="92">
        <v>45657</v>
      </c>
      <c r="AE4" s="102" t="s">
        <v>57</v>
      </c>
    </row>
    <row r="5" spans="1:31" ht="35.15" customHeight="1" x14ac:dyDescent="0.45">
      <c r="A5" s="57">
        <v>2</v>
      </c>
      <c r="B5" s="50" t="s">
        <v>16</v>
      </c>
      <c r="C5" s="42"/>
      <c r="D5" s="42"/>
    </row>
    <row r="6" spans="1:31" s="56" customFormat="1" ht="26.15" customHeight="1" x14ac:dyDescent="0.45">
      <c r="A6" s="57">
        <v>3</v>
      </c>
      <c r="B6" s="42"/>
      <c r="C6" s="44" t="s">
        <v>6</v>
      </c>
      <c r="D6" s="44"/>
      <c r="E6" s="35"/>
    </row>
    <row r="7" spans="1:31" s="52" customFormat="1" ht="18" customHeight="1" x14ac:dyDescent="0.35">
      <c r="A7" s="57">
        <v>4</v>
      </c>
      <c r="B7" s="35"/>
      <c r="C7" s="35"/>
      <c r="D7" s="45" t="s">
        <v>9</v>
      </c>
      <c r="E7" s="45" t="s">
        <v>30</v>
      </c>
      <c r="F7" s="52">
        <f t="shared" ref="F7:K7" si="0">F8+F9+F13+F14</f>
        <v>15317.153784899501</v>
      </c>
      <c r="G7" s="52">
        <f t="shared" si="0"/>
        <v>17753.248548940501</v>
      </c>
      <c r="H7" s="52">
        <f t="shared" si="0"/>
        <v>21274.02894</v>
      </c>
      <c r="I7" s="52">
        <f t="shared" si="0"/>
        <v>24882.642119999997</v>
      </c>
      <c r="J7" s="52">
        <f t="shared" si="0"/>
        <v>25555.353722536696</v>
      </c>
      <c r="K7" s="52">
        <f t="shared" si="0"/>
        <v>26892.915912333632</v>
      </c>
      <c r="L7" s="52">
        <f t="shared" ref="L7:AB7" si="1">L8+L9+L13+L14</f>
        <v>28706.438396582387</v>
      </c>
      <c r="M7" s="52">
        <f t="shared" si="1"/>
        <v>30865.956632754365</v>
      </c>
      <c r="N7" s="52">
        <f t="shared" si="1"/>
        <v>32703.209880714832</v>
      </c>
      <c r="O7" s="52">
        <f t="shared" si="1"/>
        <v>33584.975997624097</v>
      </c>
      <c r="P7" s="52">
        <f t="shared" si="1"/>
        <v>35083.274399153612</v>
      </c>
      <c r="Q7" s="52">
        <f t="shared" si="1"/>
        <v>36708.491041567293</v>
      </c>
      <c r="R7" s="52">
        <f t="shared" si="1"/>
        <v>38062.266948999997</v>
      </c>
      <c r="S7" s="52">
        <f t="shared" si="1"/>
        <v>38010.196120749999</v>
      </c>
      <c r="T7" s="52">
        <f t="shared" si="1"/>
        <v>38828.713560499993</v>
      </c>
      <c r="U7" s="52">
        <f t="shared" si="1"/>
        <v>39379.600360249984</v>
      </c>
      <c r="V7" s="52">
        <f t="shared" si="1"/>
        <v>42257.788822000002</v>
      </c>
      <c r="W7" s="52">
        <f t="shared" si="1"/>
        <v>45178.22610575</v>
      </c>
      <c r="X7" s="52">
        <f t="shared" si="1"/>
        <v>48089.433084850003</v>
      </c>
      <c r="Y7" s="52">
        <f t="shared" si="1"/>
        <v>51283.476898339999</v>
      </c>
      <c r="Z7" s="52">
        <f t="shared" si="1"/>
        <v>55217.730671339996</v>
      </c>
      <c r="AA7" s="52">
        <f t="shared" si="1"/>
        <v>55158.282758293462</v>
      </c>
      <c r="AB7" s="52">
        <f t="shared" si="1"/>
        <v>57241.258354514175</v>
      </c>
      <c r="AC7" s="52">
        <f t="shared" ref="AC7" si="2">AC8+AC9+AC13+AC14</f>
        <v>59131.541223162516</v>
      </c>
      <c r="AD7" s="52">
        <v>61869.113675797009</v>
      </c>
      <c r="AE7" s="52">
        <v>64659.895283202306</v>
      </c>
    </row>
    <row r="8" spans="1:31" s="53" customFormat="1" x14ac:dyDescent="0.35">
      <c r="A8" s="57">
        <v>5</v>
      </c>
      <c r="B8" s="35"/>
      <c r="C8" s="35"/>
      <c r="D8" s="46" t="s">
        <v>10</v>
      </c>
      <c r="E8" s="46" t="s">
        <v>18</v>
      </c>
    </row>
    <row r="9" spans="1:31" s="54" customFormat="1" x14ac:dyDescent="0.35">
      <c r="A9" s="57">
        <v>6</v>
      </c>
      <c r="B9" s="35"/>
      <c r="C9" s="35"/>
      <c r="D9" s="46" t="s">
        <v>11</v>
      </c>
      <c r="E9" s="46" t="s">
        <v>0</v>
      </c>
      <c r="F9" s="54">
        <f t="shared" ref="F9:K9" si="3">SUM(F10:F12)</f>
        <v>15317.153784899501</v>
      </c>
      <c r="G9" s="54">
        <f t="shared" si="3"/>
        <v>17753.248548940501</v>
      </c>
      <c r="H9" s="54">
        <f t="shared" si="3"/>
        <v>21274.02894</v>
      </c>
      <c r="I9" s="54">
        <f t="shared" si="3"/>
        <v>24882.642119999997</v>
      </c>
      <c r="J9" s="54">
        <f t="shared" si="3"/>
        <v>25555.353722536696</v>
      </c>
      <c r="K9" s="54">
        <f t="shared" si="3"/>
        <v>26892.915912333632</v>
      </c>
      <c r="L9" s="54">
        <f t="shared" ref="L9:AB9" si="4">SUM(L10:L12)</f>
        <v>28706.438396582387</v>
      </c>
      <c r="M9" s="54">
        <f t="shared" si="4"/>
        <v>30865.956632754365</v>
      </c>
      <c r="N9" s="54">
        <f t="shared" si="4"/>
        <v>32703.209880714832</v>
      </c>
      <c r="O9" s="54">
        <f t="shared" si="4"/>
        <v>33584.975997624097</v>
      </c>
      <c r="P9" s="54">
        <f t="shared" si="4"/>
        <v>35083.274399153612</v>
      </c>
      <c r="Q9" s="54">
        <f t="shared" si="4"/>
        <v>36708.491041567293</v>
      </c>
      <c r="R9" s="54">
        <f t="shared" si="4"/>
        <v>38062.266948999997</v>
      </c>
      <c r="S9" s="54">
        <f t="shared" si="4"/>
        <v>38010.196120749999</v>
      </c>
      <c r="T9" s="54">
        <f t="shared" si="4"/>
        <v>38828.713560499993</v>
      </c>
      <c r="U9" s="54">
        <f t="shared" si="4"/>
        <v>39379.600360249984</v>
      </c>
      <c r="V9" s="54">
        <f t="shared" si="4"/>
        <v>42257.788822000002</v>
      </c>
      <c r="W9" s="54">
        <f t="shared" si="4"/>
        <v>45178.22610575</v>
      </c>
      <c r="X9" s="54">
        <f t="shared" si="4"/>
        <v>48089.433084850003</v>
      </c>
      <c r="Y9" s="54">
        <f t="shared" si="4"/>
        <v>51283.476898339999</v>
      </c>
      <c r="Z9" s="54">
        <f t="shared" si="4"/>
        <v>55217.730671339996</v>
      </c>
      <c r="AA9" s="54">
        <f t="shared" si="4"/>
        <v>55158.282758293462</v>
      </c>
      <c r="AB9" s="54">
        <f t="shared" si="4"/>
        <v>57241.258354514175</v>
      </c>
      <c r="AC9" s="54">
        <f t="shared" ref="AC9" si="5">SUM(AC10:AC12)</f>
        <v>59131.541223162516</v>
      </c>
      <c r="AD9" s="54">
        <v>61869.113675797009</v>
      </c>
      <c r="AE9" s="54">
        <v>64659.895283202306</v>
      </c>
    </row>
    <row r="10" spans="1:31" s="55" customFormat="1" x14ac:dyDescent="0.35">
      <c r="A10" s="57">
        <v>7</v>
      </c>
      <c r="B10" s="35"/>
      <c r="C10" s="35"/>
      <c r="D10" s="47" t="s">
        <v>21</v>
      </c>
      <c r="E10" s="47" t="s">
        <v>20</v>
      </c>
      <c r="F10" s="55">
        <v>15317.153784899501</v>
      </c>
      <c r="G10" s="55">
        <v>17753.248548940501</v>
      </c>
      <c r="H10" s="55">
        <v>21274.02894</v>
      </c>
      <c r="I10" s="55">
        <v>24882.642119999997</v>
      </c>
      <c r="J10" s="55">
        <v>25555.353722536696</v>
      </c>
      <c r="K10" s="55">
        <v>26892.915912333632</v>
      </c>
      <c r="L10" s="55">
        <v>28706.438396582387</v>
      </c>
      <c r="M10" s="55">
        <v>30865.956632754365</v>
      </c>
      <c r="N10" s="55">
        <v>32703.209880714832</v>
      </c>
      <c r="O10" s="55">
        <v>33584.975997624097</v>
      </c>
      <c r="P10" s="55">
        <v>35083.274399153612</v>
      </c>
      <c r="Q10" s="55">
        <v>36708.491041567293</v>
      </c>
      <c r="R10" s="55">
        <v>38062.266948999997</v>
      </c>
      <c r="S10" s="55">
        <v>38010.196120749999</v>
      </c>
      <c r="T10" s="55">
        <v>38828.713560499993</v>
      </c>
      <c r="U10" s="55">
        <v>39379.600360249984</v>
      </c>
      <c r="V10" s="55">
        <v>42257.788822000002</v>
      </c>
      <c r="W10" s="55">
        <v>45178.22610575</v>
      </c>
      <c r="X10" s="55">
        <v>48089.433084850003</v>
      </c>
      <c r="Y10" s="55">
        <v>51283.476898339999</v>
      </c>
      <c r="Z10" s="55">
        <v>55217.730671339996</v>
      </c>
      <c r="AA10" s="55">
        <v>55158.282758293462</v>
      </c>
      <c r="AB10" s="55">
        <v>57241.258354514175</v>
      </c>
      <c r="AC10" s="55">
        <v>59131.541223162516</v>
      </c>
      <c r="AD10" s="55">
        <v>61869.113675797009</v>
      </c>
      <c r="AE10" s="55">
        <v>64659.895283202306</v>
      </c>
    </row>
    <row r="11" spans="1:31" s="55" customFormat="1" x14ac:dyDescent="0.35">
      <c r="A11" s="57">
        <v>8</v>
      </c>
      <c r="B11" s="35"/>
      <c r="C11" s="35"/>
      <c r="D11" s="47" t="s">
        <v>12</v>
      </c>
      <c r="E11" s="47" t="s">
        <v>22</v>
      </c>
      <c r="F11" s="55">
        <v>0</v>
      </c>
      <c r="G11" s="55">
        <v>0</v>
      </c>
      <c r="H11" s="55">
        <v>0</v>
      </c>
      <c r="I11" s="55">
        <v>0</v>
      </c>
      <c r="J11" s="55">
        <v>0</v>
      </c>
      <c r="K11" s="55">
        <v>0</v>
      </c>
      <c r="L11" s="55">
        <v>0</v>
      </c>
      <c r="M11" s="55">
        <v>0</v>
      </c>
      <c r="N11" s="55">
        <v>0</v>
      </c>
      <c r="O11" s="55">
        <v>0</v>
      </c>
      <c r="P11" s="55">
        <v>0</v>
      </c>
      <c r="Q11" s="55">
        <v>0</v>
      </c>
      <c r="R11" s="55">
        <v>0</v>
      </c>
      <c r="S11" s="55">
        <v>0</v>
      </c>
      <c r="T11" s="55">
        <v>0</v>
      </c>
      <c r="U11" s="55">
        <v>0</v>
      </c>
      <c r="V11" s="55">
        <v>0</v>
      </c>
      <c r="W11" s="55">
        <v>0</v>
      </c>
      <c r="X11" s="55">
        <v>0</v>
      </c>
      <c r="Y11" s="55">
        <v>0</v>
      </c>
      <c r="Z11" s="55">
        <v>0</v>
      </c>
      <c r="AA11" s="55">
        <v>0</v>
      </c>
      <c r="AB11" s="55">
        <v>0</v>
      </c>
      <c r="AC11" s="55">
        <v>0</v>
      </c>
      <c r="AD11" s="55">
        <v>0</v>
      </c>
      <c r="AE11" s="55">
        <v>0</v>
      </c>
    </row>
    <row r="12" spans="1:31" s="55" customFormat="1" x14ac:dyDescent="0.35">
      <c r="A12" s="57">
        <v>9</v>
      </c>
      <c r="B12" s="35"/>
      <c r="C12" s="35"/>
      <c r="D12" s="47" t="s">
        <v>13</v>
      </c>
      <c r="E12" s="47" t="s">
        <v>23</v>
      </c>
      <c r="F12" s="55">
        <v>0</v>
      </c>
      <c r="G12" s="55">
        <v>0</v>
      </c>
      <c r="H12" s="55">
        <v>0</v>
      </c>
      <c r="I12" s="55">
        <v>0</v>
      </c>
      <c r="J12" s="55">
        <v>0</v>
      </c>
      <c r="K12" s="55">
        <v>0</v>
      </c>
      <c r="L12" s="55">
        <v>0</v>
      </c>
      <c r="M12" s="55">
        <v>0</v>
      </c>
      <c r="N12" s="55">
        <v>0</v>
      </c>
      <c r="O12" s="55">
        <v>0</v>
      </c>
      <c r="P12" s="55">
        <v>0</v>
      </c>
      <c r="Q12" s="55">
        <v>0</v>
      </c>
      <c r="R12" s="55">
        <v>0</v>
      </c>
      <c r="S12" s="55">
        <v>0</v>
      </c>
      <c r="T12" s="55">
        <v>0</v>
      </c>
      <c r="U12" s="55">
        <v>0</v>
      </c>
      <c r="V12" s="55">
        <v>0</v>
      </c>
      <c r="W12" s="55">
        <v>0</v>
      </c>
      <c r="X12" s="55">
        <v>0</v>
      </c>
      <c r="Y12" s="55">
        <v>0</v>
      </c>
      <c r="Z12" s="55">
        <v>0</v>
      </c>
      <c r="AA12" s="55">
        <v>0</v>
      </c>
      <c r="AB12" s="55">
        <v>0</v>
      </c>
      <c r="AC12" s="55">
        <v>0</v>
      </c>
      <c r="AD12" s="55">
        <v>0</v>
      </c>
      <c r="AE12" s="55">
        <v>0</v>
      </c>
    </row>
    <row r="13" spans="1:31" s="55" customFormat="1" x14ac:dyDescent="0.35">
      <c r="A13" s="57">
        <v>10</v>
      </c>
      <c r="B13" s="35"/>
      <c r="C13" s="35"/>
      <c r="D13" s="46" t="s">
        <v>14</v>
      </c>
      <c r="E13" s="46" t="s">
        <v>24</v>
      </c>
      <c r="F13" s="55">
        <v>0</v>
      </c>
      <c r="G13" s="55">
        <v>0</v>
      </c>
      <c r="H13" s="55">
        <v>0</v>
      </c>
      <c r="I13" s="55">
        <v>0</v>
      </c>
      <c r="J13" s="55">
        <v>0</v>
      </c>
      <c r="K13" s="55">
        <v>0</v>
      </c>
      <c r="L13" s="55">
        <v>0</v>
      </c>
      <c r="M13" s="55">
        <v>0</v>
      </c>
      <c r="N13" s="55">
        <v>0</v>
      </c>
      <c r="O13" s="55">
        <v>0</v>
      </c>
      <c r="P13" s="55">
        <v>0</v>
      </c>
      <c r="Q13" s="55">
        <v>0</v>
      </c>
      <c r="R13" s="55">
        <v>0</v>
      </c>
      <c r="S13" s="55">
        <v>0</v>
      </c>
      <c r="T13" s="55">
        <v>0</v>
      </c>
      <c r="U13" s="55">
        <v>0</v>
      </c>
      <c r="V13" s="55">
        <v>0</v>
      </c>
      <c r="W13" s="55">
        <v>0</v>
      </c>
      <c r="X13" s="55">
        <v>0</v>
      </c>
      <c r="Y13" s="55">
        <v>0</v>
      </c>
      <c r="Z13" s="55">
        <v>0</v>
      </c>
      <c r="AA13" s="55">
        <v>0</v>
      </c>
      <c r="AB13" s="55">
        <v>0</v>
      </c>
      <c r="AC13" s="55">
        <v>0</v>
      </c>
      <c r="AD13" s="55">
        <v>0</v>
      </c>
      <c r="AE13" s="55">
        <v>0</v>
      </c>
    </row>
    <row r="14" spans="1:31" s="55" customFormat="1" x14ac:dyDescent="0.35">
      <c r="A14" s="57">
        <v>11</v>
      </c>
      <c r="B14" s="35"/>
      <c r="C14" s="35"/>
      <c r="D14" s="46" t="s">
        <v>25</v>
      </c>
      <c r="E14" s="46" t="s">
        <v>26</v>
      </c>
      <c r="F14" s="55">
        <v>0</v>
      </c>
      <c r="G14" s="55">
        <v>0</v>
      </c>
      <c r="H14" s="55">
        <v>0</v>
      </c>
      <c r="I14" s="55">
        <v>0</v>
      </c>
      <c r="J14" s="55">
        <v>0</v>
      </c>
      <c r="K14" s="55">
        <v>0</v>
      </c>
      <c r="L14" s="55">
        <v>0</v>
      </c>
      <c r="M14" s="55">
        <v>0</v>
      </c>
      <c r="N14" s="55">
        <v>0</v>
      </c>
      <c r="O14" s="55">
        <v>0</v>
      </c>
      <c r="P14" s="55">
        <v>0</v>
      </c>
      <c r="Q14" s="55">
        <v>0</v>
      </c>
      <c r="R14" s="55">
        <v>0</v>
      </c>
      <c r="S14" s="55">
        <v>0</v>
      </c>
      <c r="T14" s="55">
        <v>0</v>
      </c>
      <c r="U14" s="55">
        <v>0</v>
      </c>
      <c r="V14" s="55">
        <v>0</v>
      </c>
      <c r="W14" s="55">
        <v>0</v>
      </c>
      <c r="X14" s="55">
        <v>0</v>
      </c>
      <c r="Y14" s="55">
        <v>0</v>
      </c>
      <c r="Z14" s="55">
        <v>0</v>
      </c>
      <c r="AA14" s="55">
        <v>0</v>
      </c>
      <c r="AB14" s="55">
        <v>0</v>
      </c>
      <c r="AC14" s="55">
        <v>0</v>
      </c>
      <c r="AD14" s="55">
        <v>0</v>
      </c>
      <c r="AE14" s="55">
        <v>0</v>
      </c>
    </row>
    <row r="15" spans="1:31" s="52" customFormat="1" ht="15.5" x14ac:dyDescent="0.35">
      <c r="A15" s="57">
        <v>12</v>
      </c>
      <c r="B15" s="35"/>
      <c r="C15" s="35"/>
      <c r="D15" s="45" t="s">
        <v>15</v>
      </c>
      <c r="E15" s="45" t="s">
        <v>17</v>
      </c>
      <c r="F15" s="52">
        <v>991.64122939280867</v>
      </c>
      <c r="G15" s="52">
        <v>811.30650263854898</v>
      </c>
      <c r="H15" s="52">
        <v>492.46435074153146</v>
      </c>
      <c r="I15" s="52">
        <v>294.21401741074374</v>
      </c>
      <c r="J15" s="52">
        <v>169.95820846330525</v>
      </c>
      <c r="K15" s="52">
        <v>273.58526291637014</v>
      </c>
      <c r="L15" s="52">
        <v>247.15825591761401</v>
      </c>
      <c r="M15" s="52">
        <v>134.61811899563193</v>
      </c>
      <c r="N15" s="52">
        <v>87.170822285168782</v>
      </c>
      <c r="O15" s="52">
        <v>228.81272162590145</v>
      </c>
      <c r="P15" s="52">
        <v>204.72981134638499</v>
      </c>
      <c r="Q15" s="52">
        <v>106.18188418270704</v>
      </c>
      <c r="R15" s="52">
        <v>335.91663599999998</v>
      </c>
      <c r="S15" s="52">
        <v>40.675505999999977</v>
      </c>
      <c r="T15" s="52">
        <v>36.904687999999979</v>
      </c>
      <c r="U15" s="52">
        <v>187.77411200000003</v>
      </c>
      <c r="V15" s="52">
        <v>42.147379999999984</v>
      </c>
      <c r="W15" s="52">
        <v>120.926106</v>
      </c>
      <c r="X15" s="52">
        <v>120.81361400000002</v>
      </c>
      <c r="Y15" s="52">
        <v>48.837756999999982</v>
      </c>
      <c r="Z15" s="52">
        <v>53.611095999999961</v>
      </c>
      <c r="AA15" s="52">
        <v>43.759352</v>
      </c>
      <c r="AB15" s="52">
        <v>43.208167000000003</v>
      </c>
      <c r="AC15" s="52">
        <v>46.350500000000018</v>
      </c>
      <c r="AD15" s="52">
        <v>42.317138999999997</v>
      </c>
      <c r="AE15" s="52">
        <v>45.096985662344807</v>
      </c>
    </row>
    <row r="16" spans="1:31" s="51" customFormat="1" ht="9" customHeight="1" x14ac:dyDescent="0.35">
      <c r="A16" s="57">
        <v>13</v>
      </c>
      <c r="B16" s="35"/>
      <c r="C16" s="35"/>
      <c r="D16" s="49"/>
      <c r="E16" s="49"/>
      <c r="F16" s="51">
        <v>0</v>
      </c>
      <c r="G16" s="51">
        <v>0</v>
      </c>
      <c r="H16" s="51">
        <v>0</v>
      </c>
      <c r="I16" s="51">
        <v>0</v>
      </c>
      <c r="J16" s="51">
        <v>0</v>
      </c>
      <c r="K16" s="51">
        <v>0</v>
      </c>
      <c r="L16" s="51">
        <v>0</v>
      </c>
      <c r="M16" s="51">
        <v>0</v>
      </c>
      <c r="N16" s="51">
        <v>0</v>
      </c>
      <c r="O16" s="51">
        <v>0</v>
      </c>
      <c r="P16" s="51">
        <v>0</v>
      </c>
      <c r="Q16" s="51">
        <v>0</v>
      </c>
      <c r="R16" s="51">
        <v>0</v>
      </c>
      <c r="S16" s="51">
        <v>0</v>
      </c>
      <c r="T16" s="51">
        <v>0</v>
      </c>
      <c r="U16" s="51">
        <v>0</v>
      </c>
      <c r="V16" s="51">
        <v>0</v>
      </c>
      <c r="W16" s="51">
        <v>0</v>
      </c>
      <c r="X16" s="51">
        <v>0</v>
      </c>
      <c r="Y16" s="51">
        <v>0</v>
      </c>
      <c r="Z16" s="51">
        <v>0</v>
      </c>
      <c r="AA16" s="51">
        <v>0</v>
      </c>
      <c r="AB16" s="51">
        <v>0</v>
      </c>
      <c r="AC16" s="51">
        <v>0</v>
      </c>
      <c r="AD16" s="51">
        <v>0</v>
      </c>
      <c r="AE16" s="51">
        <v>0</v>
      </c>
    </row>
    <row r="17" spans="1:31" s="56" customFormat="1" ht="26.15" customHeight="1" x14ac:dyDescent="0.45">
      <c r="A17" s="57">
        <v>14</v>
      </c>
      <c r="B17" s="42"/>
      <c r="C17" s="44" t="s">
        <v>7</v>
      </c>
      <c r="D17" s="44"/>
      <c r="E17" s="35"/>
    </row>
    <row r="18" spans="1:31" s="52" customFormat="1" ht="18" customHeight="1" x14ac:dyDescent="0.35">
      <c r="A18" s="57">
        <v>15</v>
      </c>
      <c r="B18" s="35"/>
      <c r="C18" s="35"/>
      <c r="D18" s="45" t="s">
        <v>9</v>
      </c>
      <c r="E18" s="45" t="s">
        <v>30</v>
      </c>
      <c r="F18" s="52">
        <f t="shared" ref="F18:K18" si="6">F19+F20+F24+F25</f>
        <v>134.43963341000017</v>
      </c>
      <c r="G18" s="52">
        <f t="shared" si="6"/>
        <v>118.77425738999955</v>
      </c>
      <c r="H18" s="52">
        <f t="shared" si="6"/>
        <v>245.78937945999496</v>
      </c>
      <c r="I18" s="52">
        <f t="shared" si="6"/>
        <v>680.32761431999825</v>
      </c>
      <c r="J18" s="52">
        <f t="shared" si="6"/>
        <v>1310.9526343500002</v>
      </c>
      <c r="K18" s="52">
        <f t="shared" si="6"/>
        <v>1388.6809552599989</v>
      </c>
      <c r="L18" s="52">
        <f t="shared" ref="L18" si="7">L19+L20+L24+L25</f>
        <v>1406.4597321900001</v>
      </c>
      <c r="M18" s="52">
        <f t="shared" ref="M18" si="8">M19+M20+M24+M25</f>
        <v>1526.1340969199955</v>
      </c>
      <c r="N18" s="52">
        <f t="shared" ref="N18" si="9">N19+N20+N24+N25</f>
        <v>1648.2458720800023</v>
      </c>
      <c r="O18" s="52">
        <f t="shared" ref="O18" si="10">O19+O20+O24+O25</f>
        <v>1759.3324281400019</v>
      </c>
      <c r="P18" s="52">
        <f t="shared" ref="P18" si="11">P19+P20+P24+P25</f>
        <v>1967.6050653499988</v>
      </c>
      <c r="Q18" s="52">
        <f t="shared" ref="Q18" si="12">Q19+Q20+Q24+Q25</f>
        <v>1523.456067659992</v>
      </c>
      <c r="R18" s="52">
        <f t="shared" ref="R18" si="13">R19+R20+R24+R25</f>
        <v>2272.1963881200027</v>
      </c>
      <c r="S18" s="52">
        <f t="shared" ref="S18" si="14">S19+S20+S24+S25</f>
        <v>2480.9275639700027</v>
      </c>
      <c r="T18" s="52">
        <f t="shared" ref="T18" si="15">T19+T20+T24+T25</f>
        <v>3445.2554702400012</v>
      </c>
      <c r="U18" s="52">
        <f t="shared" ref="U18" si="16">U19+U20+U24+U25</f>
        <v>4117.8061878199987</v>
      </c>
      <c r="V18" s="52">
        <f t="shared" ref="V18" si="17">V19+V20+V24+V25</f>
        <v>4947.3233899099978</v>
      </c>
      <c r="W18" s="52">
        <f t="shared" ref="W18" si="18">W19+W20+W24+W25</f>
        <v>4474.9425386100047</v>
      </c>
      <c r="X18" s="52">
        <f t="shared" ref="X18" si="19">X19+X20+X24+X25</f>
        <v>4149.7341452800028</v>
      </c>
      <c r="Y18" s="52">
        <f t="shared" ref="Y18" si="20">Y19+Y20+Y24+Y25</f>
        <v>4022.5829477499938</v>
      </c>
      <c r="Z18" s="52">
        <f t="shared" ref="Z18" si="21">Z19+Z20+Z24+Z25</f>
        <v>4272.4051103599995</v>
      </c>
      <c r="AA18" s="52">
        <f t="shared" ref="AA18" si="22">AA19+AA20+AA24+AA25</f>
        <v>2624.7642320665182</v>
      </c>
      <c r="AB18" s="52">
        <f t="shared" ref="AB18:AC18" si="23">AB19+AB20+AB24+AB25</f>
        <v>1948.1830097907441</v>
      </c>
      <c r="AC18" s="52">
        <f t="shared" si="23"/>
        <v>5941.7414445913309</v>
      </c>
      <c r="AD18" s="52">
        <v>2396.414692127044</v>
      </c>
      <c r="AE18" s="52">
        <v>1676.1715053609951</v>
      </c>
    </row>
    <row r="19" spans="1:31" s="53" customFormat="1" x14ac:dyDescent="0.35">
      <c r="A19" s="57">
        <v>16</v>
      </c>
      <c r="B19" s="35"/>
      <c r="C19" s="35"/>
      <c r="D19" s="46" t="s">
        <v>10</v>
      </c>
      <c r="E19" s="46" t="s">
        <v>18</v>
      </c>
    </row>
    <row r="20" spans="1:31" s="54" customFormat="1" x14ac:dyDescent="0.35">
      <c r="A20" s="57">
        <v>17</v>
      </c>
      <c r="B20" s="35"/>
      <c r="C20" s="35"/>
      <c r="D20" s="46" t="s">
        <v>11</v>
      </c>
      <c r="E20" s="46" t="s">
        <v>0</v>
      </c>
      <c r="F20" s="54">
        <f t="shared" ref="F20:K20" si="24">SUM(F21:F23)</f>
        <v>0</v>
      </c>
      <c r="G20" s="54">
        <f t="shared" si="24"/>
        <v>0</v>
      </c>
      <c r="H20" s="54">
        <f t="shared" si="24"/>
        <v>0</v>
      </c>
      <c r="I20" s="54">
        <f t="shared" si="24"/>
        <v>0</v>
      </c>
      <c r="J20" s="54">
        <f t="shared" si="24"/>
        <v>0</v>
      </c>
      <c r="K20" s="54">
        <f t="shared" si="24"/>
        <v>0</v>
      </c>
      <c r="L20" s="54">
        <f t="shared" ref="L20" si="25">SUM(L21:L23)</f>
        <v>0</v>
      </c>
      <c r="M20" s="54">
        <f t="shared" ref="M20" si="26">SUM(M21:M23)</f>
        <v>0</v>
      </c>
      <c r="N20" s="54">
        <f t="shared" ref="N20" si="27">SUM(N21:N23)</f>
        <v>0</v>
      </c>
      <c r="O20" s="54">
        <f t="shared" ref="O20" si="28">SUM(O21:O23)</f>
        <v>0</v>
      </c>
      <c r="P20" s="54">
        <f t="shared" ref="P20" si="29">SUM(P21:P23)</f>
        <v>0</v>
      </c>
      <c r="Q20" s="54">
        <f t="shared" ref="Q20" si="30">SUM(Q21:Q23)</f>
        <v>0</v>
      </c>
      <c r="R20" s="54">
        <f t="shared" ref="R20" si="31">SUM(R21:R23)</f>
        <v>0</v>
      </c>
      <c r="S20" s="54">
        <f t="shared" ref="S20" si="32">SUM(S21:S23)</f>
        <v>0</v>
      </c>
      <c r="T20" s="54">
        <f t="shared" ref="T20" si="33">SUM(T21:T23)</f>
        <v>0</v>
      </c>
      <c r="U20" s="54">
        <f t="shared" ref="U20" si="34">SUM(U21:U23)</f>
        <v>0</v>
      </c>
      <c r="V20" s="54">
        <f t="shared" ref="V20" si="35">SUM(V21:V23)</f>
        <v>0</v>
      </c>
      <c r="W20" s="54">
        <f t="shared" ref="W20" si="36">SUM(W21:W23)</f>
        <v>0</v>
      </c>
      <c r="X20" s="54">
        <f t="shared" ref="X20" si="37">SUM(X21:X23)</f>
        <v>0</v>
      </c>
      <c r="Y20" s="54">
        <f t="shared" ref="Y20" si="38">SUM(Y21:Y23)</f>
        <v>0</v>
      </c>
      <c r="Z20" s="54">
        <f t="shared" ref="Z20" si="39">SUM(Z21:Z23)</f>
        <v>0</v>
      </c>
      <c r="AA20" s="54">
        <f t="shared" ref="AA20" si="40">SUM(AA21:AA23)</f>
        <v>0</v>
      </c>
      <c r="AB20" s="54">
        <f t="shared" ref="AB20:AC20" si="41">SUM(AB21:AB23)</f>
        <v>0</v>
      </c>
      <c r="AC20" s="54">
        <f t="shared" si="41"/>
        <v>0</v>
      </c>
      <c r="AD20" s="54">
        <v>0</v>
      </c>
      <c r="AE20" s="54">
        <v>0</v>
      </c>
    </row>
    <row r="21" spans="1:31" s="55" customFormat="1" x14ac:dyDescent="0.35">
      <c r="A21" s="57">
        <v>18</v>
      </c>
      <c r="B21" s="35"/>
      <c r="C21" s="35"/>
      <c r="D21" s="47" t="s">
        <v>21</v>
      </c>
      <c r="E21" s="47" t="s">
        <v>20</v>
      </c>
      <c r="F21" s="55">
        <v>0</v>
      </c>
      <c r="G21" s="55">
        <v>0</v>
      </c>
      <c r="H21" s="55">
        <v>0</v>
      </c>
      <c r="I21" s="55">
        <v>0</v>
      </c>
      <c r="J21" s="55">
        <v>0</v>
      </c>
      <c r="K21" s="55">
        <v>0</v>
      </c>
      <c r="L21" s="55">
        <v>0</v>
      </c>
      <c r="M21" s="55">
        <v>0</v>
      </c>
      <c r="N21" s="55">
        <v>0</v>
      </c>
      <c r="O21" s="55">
        <v>0</v>
      </c>
      <c r="P21" s="55">
        <v>0</v>
      </c>
      <c r="Q21" s="55">
        <v>0</v>
      </c>
      <c r="R21" s="55">
        <v>0</v>
      </c>
      <c r="S21" s="55">
        <v>0</v>
      </c>
      <c r="T21" s="55">
        <v>0</v>
      </c>
      <c r="U21" s="55">
        <v>0</v>
      </c>
      <c r="V21" s="55">
        <v>0</v>
      </c>
      <c r="W21" s="55">
        <v>0</v>
      </c>
      <c r="X21" s="55">
        <v>0</v>
      </c>
      <c r="Y21" s="55">
        <v>0</v>
      </c>
      <c r="Z21" s="55">
        <v>0</v>
      </c>
      <c r="AA21" s="55">
        <v>0</v>
      </c>
      <c r="AB21" s="55">
        <v>0</v>
      </c>
      <c r="AC21" s="55">
        <v>0</v>
      </c>
      <c r="AD21" s="55">
        <v>0</v>
      </c>
      <c r="AE21" s="55">
        <v>0</v>
      </c>
    </row>
    <row r="22" spans="1:31" s="55" customFormat="1" x14ac:dyDescent="0.35">
      <c r="A22" s="57">
        <v>19</v>
      </c>
      <c r="B22" s="35"/>
      <c r="C22" s="35"/>
      <c r="D22" s="47" t="s">
        <v>12</v>
      </c>
      <c r="E22" s="47" t="s">
        <v>22</v>
      </c>
      <c r="F22" s="55">
        <v>0</v>
      </c>
      <c r="G22" s="55">
        <v>0</v>
      </c>
      <c r="H22" s="55">
        <v>0</v>
      </c>
      <c r="I22" s="55">
        <v>0</v>
      </c>
      <c r="J22" s="55">
        <v>0</v>
      </c>
      <c r="K22" s="55">
        <v>0</v>
      </c>
      <c r="L22" s="55">
        <v>0</v>
      </c>
      <c r="M22" s="55">
        <v>0</v>
      </c>
      <c r="N22" s="55">
        <v>0</v>
      </c>
      <c r="O22" s="55">
        <v>0</v>
      </c>
      <c r="P22" s="55">
        <v>0</v>
      </c>
      <c r="Q22" s="55">
        <v>0</v>
      </c>
      <c r="R22" s="55">
        <v>0</v>
      </c>
      <c r="S22" s="55">
        <v>0</v>
      </c>
      <c r="T22" s="55">
        <v>0</v>
      </c>
      <c r="U22" s="55">
        <v>0</v>
      </c>
      <c r="V22" s="55">
        <v>0</v>
      </c>
      <c r="W22" s="55">
        <v>0</v>
      </c>
      <c r="X22" s="55">
        <v>0</v>
      </c>
      <c r="Y22" s="55">
        <v>0</v>
      </c>
      <c r="Z22" s="55">
        <v>0</v>
      </c>
      <c r="AA22" s="55">
        <v>0</v>
      </c>
      <c r="AB22" s="55">
        <v>0</v>
      </c>
      <c r="AC22" s="55">
        <v>0</v>
      </c>
      <c r="AD22" s="55">
        <v>0</v>
      </c>
      <c r="AE22" s="55">
        <v>0</v>
      </c>
    </row>
    <row r="23" spans="1:31" s="55" customFormat="1" x14ac:dyDescent="0.35">
      <c r="A23" s="57">
        <v>20</v>
      </c>
      <c r="B23" s="35"/>
      <c r="C23" s="35"/>
      <c r="D23" s="47" t="s">
        <v>13</v>
      </c>
      <c r="E23" s="47" t="s">
        <v>23</v>
      </c>
      <c r="F23" s="55">
        <v>0</v>
      </c>
      <c r="G23" s="55">
        <v>0</v>
      </c>
      <c r="H23" s="55">
        <v>0</v>
      </c>
      <c r="I23" s="55">
        <v>0</v>
      </c>
      <c r="J23" s="55">
        <v>0</v>
      </c>
      <c r="K23" s="55">
        <v>0</v>
      </c>
      <c r="L23" s="55">
        <v>0</v>
      </c>
      <c r="M23" s="55">
        <v>0</v>
      </c>
      <c r="N23" s="55">
        <v>0</v>
      </c>
      <c r="O23" s="55">
        <v>0</v>
      </c>
      <c r="P23" s="55">
        <v>0</v>
      </c>
      <c r="Q23" s="55">
        <v>0</v>
      </c>
      <c r="R23" s="55">
        <v>0</v>
      </c>
      <c r="S23" s="55">
        <v>0</v>
      </c>
      <c r="T23" s="55">
        <v>0</v>
      </c>
      <c r="U23" s="55">
        <v>0</v>
      </c>
      <c r="V23" s="55">
        <v>0</v>
      </c>
      <c r="W23" s="55">
        <v>0</v>
      </c>
      <c r="X23" s="55">
        <v>0</v>
      </c>
      <c r="Y23" s="55">
        <v>0</v>
      </c>
      <c r="Z23" s="55">
        <v>0</v>
      </c>
      <c r="AA23" s="55">
        <v>0</v>
      </c>
      <c r="AB23" s="55">
        <v>0</v>
      </c>
      <c r="AC23" s="55">
        <v>0</v>
      </c>
      <c r="AD23" s="55">
        <v>0</v>
      </c>
      <c r="AE23" s="55">
        <v>0</v>
      </c>
    </row>
    <row r="24" spans="1:31" s="54" customFormat="1" x14ac:dyDescent="0.35">
      <c r="A24" s="57">
        <v>21</v>
      </c>
      <c r="B24" s="35"/>
      <c r="C24" s="35"/>
      <c r="D24" s="46" t="s">
        <v>1</v>
      </c>
      <c r="E24" s="46" t="s">
        <v>24</v>
      </c>
      <c r="F24" s="54">
        <v>134.43963341000017</v>
      </c>
      <c r="G24" s="54">
        <v>118.77425738999955</v>
      </c>
      <c r="H24" s="54">
        <v>245.78937945999496</v>
      </c>
      <c r="I24" s="54">
        <v>680.32761431999825</v>
      </c>
      <c r="J24" s="54">
        <v>1310.9526343500002</v>
      </c>
      <c r="K24" s="54">
        <v>1388.6809552599989</v>
      </c>
      <c r="L24" s="54">
        <v>1406.4597321900001</v>
      </c>
      <c r="M24" s="54">
        <v>1526.1340969199955</v>
      </c>
      <c r="N24" s="54">
        <v>1648.2458720800023</v>
      </c>
      <c r="O24" s="54">
        <v>1759.3324281400019</v>
      </c>
      <c r="P24" s="54">
        <v>1967.6050653499988</v>
      </c>
      <c r="Q24" s="54">
        <v>1523.456067659992</v>
      </c>
      <c r="R24" s="54">
        <v>2272.1963881200027</v>
      </c>
      <c r="S24" s="54">
        <v>2480.9275639700027</v>
      </c>
      <c r="T24" s="54">
        <v>3445.2554702400012</v>
      </c>
      <c r="U24" s="54">
        <v>4117.8061878199987</v>
      </c>
      <c r="V24" s="54">
        <v>4947.3233899099978</v>
      </c>
      <c r="W24" s="54">
        <v>4474.9425386100047</v>
      </c>
      <c r="X24" s="54">
        <v>4149.7341452800028</v>
      </c>
      <c r="Y24" s="54">
        <v>4022.5829477499938</v>
      </c>
      <c r="Z24" s="54">
        <v>4272.4051103599995</v>
      </c>
      <c r="AA24" s="54">
        <v>2624.7642320665182</v>
      </c>
      <c r="AB24" s="54">
        <v>1948.1830097907441</v>
      </c>
      <c r="AC24" s="54">
        <v>5941.7414445913309</v>
      </c>
      <c r="AD24" s="54">
        <v>2396.414692127044</v>
      </c>
      <c r="AE24" s="54">
        <v>1676.1715053609951</v>
      </c>
    </row>
    <row r="25" spans="1:31" s="54" customFormat="1" x14ac:dyDescent="0.35">
      <c r="A25" s="57">
        <v>22</v>
      </c>
      <c r="B25" s="35"/>
      <c r="C25" s="35"/>
      <c r="D25" s="46" t="s">
        <v>25</v>
      </c>
      <c r="E25" s="46" t="s">
        <v>26</v>
      </c>
      <c r="F25" s="54">
        <v>0</v>
      </c>
      <c r="G25" s="54">
        <v>0</v>
      </c>
      <c r="H25" s="54">
        <v>0</v>
      </c>
      <c r="I25" s="54">
        <v>0</v>
      </c>
      <c r="J25" s="54">
        <v>0</v>
      </c>
      <c r="K25" s="54">
        <v>0</v>
      </c>
      <c r="L25" s="54">
        <v>0</v>
      </c>
      <c r="M25" s="54">
        <v>0</v>
      </c>
      <c r="N25" s="54">
        <v>0</v>
      </c>
      <c r="O25" s="54">
        <v>0</v>
      </c>
      <c r="P25" s="54">
        <v>0</v>
      </c>
      <c r="Q25" s="54">
        <v>0</v>
      </c>
      <c r="R25" s="54">
        <v>0</v>
      </c>
      <c r="S25" s="54">
        <v>0</v>
      </c>
      <c r="T25" s="54">
        <v>0</v>
      </c>
      <c r="U25" s="54">
        <v>0</v>
      </c>
      <c r="V25" s="54">
        <v>0</v>
      </c>
      <c r="W25" s="54">
        <v>0</v>
      </c>
      <c r="X25" s="54">
        <v>0</v>
      </c>
      <c r="Y25" s="54">
        <v>0</v>
      </c>
      <c r="Z25" s="54">
        <v>0</v>
      </c>
      <c r="AA25" s="54">
        <v>0</v>
      </c>
      <c r="AB25" s="54">
        <v>0</v>
      </c>
      <c r="AC25" s="54">
        <v>0</v>
      </c>
      <c r="AD25" s="54">
        <v>0</v>
      </c>
      <c r="AE25" s="54">
        <v>0</v>
      </c>
    </row>
    <row r="26" spans="1:31" s="52" customFormat="1" ht="15.5" x14ac:dyDescent="0.35">
      <c r="A26" s="57">
        <v>23</v>
      </c>
      <c r="B26" s="35"/>
      <c r="C26" s="35"/>
      <c r="D26" s="45" t="s">
        <v>15</v>
      </c>
      <c r="E26" s="45" t="s">
        <v>17</v>
      </c>
      <c r="F26" s="52">
        <v>0</v>
      </c>
      <c r="G26" s="52">
        <v>0</v>
      </c>
      <c r="H26" s="52">
        <v>0</v>
      </c>
      <c r="I26" s="52">
        <v>0</v>
      </c>
      <c r="J26" s="52">
        <v>0</v>
      </c>
      <c r="K26" s="52">
        <v>0</v>
      </c>
      <c r="L26" s="52">
        <v>0</v>
      </c>
      <c r="M26" s="52">
        <v>0</v>
      </c>
      <c r="N26" s="52">
        <v>0</v>
      </c>
      <c r="O26" s="52">
        <v>0</v>
      </c>
      <c r="P26" s="52">
        <v>0</v>
      </c>
      <c r="Q26" s="52">
        <v>0</v>
      </c>
      <c r="R26" s="52">
        <v>0</v>
      </c>
      <c r="S26" s="52">
        <v>0</v>
      </c>
      <c r="T26" s="52">
        <v>0</v>
      </c>
      <c r="U26" s="52">
        <v>0</v>
      </c>
      <c r="V26" s="52">
        <v>0</v>
      </c>
      <c r="W26" s="52">
        <v>0</v>
      </c>
      <c r="X26" s="52">
        <v>0</v>
      </c>
      <c r="Y26" s="52">
        <v>0</v>
      </c>
      <c r="Z26" s="52">
        <v>0</v>
      </c>
      <c r="AA26" s="52">
        <v>0</v>
      </c>
      <c r="AB26" s="52">
        <v>0</v>
      </c>
      <c r="AC26" s="52">
        <v>0</v>
      </c>
      <c r="AD26" s="52">
        <v>0</v>
      </c>
      <c r="AE26" s="52">
        <v>0</v>
      </c>
    </row>
    <row r="27" spans="1:31" s="51" customFormat="1" ht="9" customHeight="1" x14ac:dyDescent="0.35">
      <c r="A27" s="57">
        <v>24</v>
      </c>
      <c r="B27" s="35"/>
      <c r="C27" s="35"/>
      <c r="D27" s="49"/>
      <c r="E27" s="49"/>
      <c r="F27" s="51">
        <v>0</v>
      </c>
      <c r="G27" s="51">
        <v>0</v>
      </c>
      <c r="H27" s="51">
        <v>0</v>
      </c>
      <c r="I27" s="51">
        <v>0</v>
      </c>
      <c r="J27" s="51">
        <v>0</v>
      </c>
      <c r="K27" s="51">
        <v>0</v>
      </c>
      <c r="L27" s="51">
        <v>0</v>
      </c>
      <c r="M27" s="51">
        <v>0</v>
      </c>
      <c r="N27" s="51">
        <v>0</v>
      </c>
      <c r="O27" s="51">
        <v>0</v>
      </c>
      <c r="P27" s="51">
        <v>0</v>
      </c>
      <c r="Q27" s="51">
        <v>0</v>
      </c>
      <c r="R27" s="51">
        <v>0</v>
      </c>
      <c r="S27" s="51">
        <v>0</v>
      </c>
      <c r="T27" s="51">
        <v>0</v>
      </c>
      <c r="U27" s="51">
        <v>0</v>
      </c>
      <c r="V27" s="51">
        <v>0</v>
      </c>
      <c r="W27" s="51">
        <v>0</v>
      </c>
      <c r="X27" s="51">
        <v>0</v>
      </c>
      <c r="Y27" s="51">
        <v>0</v>
      </c>
      <c r="Z27" s="51">
        <v>0</v>
      </c>
      <c r="AA27" s="51">
        <v>0</v>
      </c>
      <c r="AB27" s="51">
        <v>0</v>
      </c>
      <c r="AC27" s="51">
        <v>0</v>
      </c>
      <c r="AD27" s="51">
        <v>0</v>
      </c>
      <c r="AE27" s="51">
        <v>0</v>
      </c>
    </row>
    <row r="28" spans="1:31" s="56" customFormat="1" ht="26.15" customHeight="1" x14ac:dyDescent="0.45">
      <c r="A28" s="57">
        <v>25</v>
      </c>
      <c r="B28" s="42"/>
      <c r="C28" s="44" t="s">
        <v>2</v>
      </c>
      <c r="D28" s="44"/>
      <c r="E28" s="35"/>
    </row>
    <row r="29" spans="1:31" s="52" customFormat="1" ht="18" customHeight="1" x14ac:dyDescent="0.35">
      <c r="A29" s="57">
        <v>26</v>
      </c>
      <c r="B29" s="35"/>
      <c r="C29" s="35"/>
      <c r="D29" s="45" t="s">
        <v>9</v>
      </c>
      <c r="E29" s="45" t="s">
        <v>30</v>
      </c>
      <c r="F29" s="52">
        <f t="shared" ref="F29:K29" si="42">F30+F31+F35+F36</f>
        <v>82.951656</v>
      </c>
      <c r="G29" s="52">
        <f t="shared" si="42"/>
        <v>157.40569500000001</v>
      </c>
      <c r="H29" s="52">
        <f t="shared" si="42"/>
        <v>418.69337300000001</v>
      </c>
      <c r="I29" s="52">
        <f t="shared" si="42"/>
        <v>367.59858499999996</v>
      </c>
      <c r="J29" s="52">
        <f t="shared" si="42"/>
        <v>464.36471600000004</v>
      </c>
      <c r="K29" s="52">
        <f t="shared" si="42"/>
        <v>531.469829</v>
      </c>
      <c r="L29" s="52">
        <f t="shared" ref="L29" si="43">L30+L31+L35+L36</f>
        <v>456.35570400000006</v>
      </c>
      <c r="M29" s="52">
        <f t="shared" ref="M29" si="44">M30+M31+M35+M36</f>
        <v>369.13047599999999</v>
      </c>
      <c r="N29" s="52">
        <f t="shared" ref="N29" si="45">N30+N31+N35+N36</f>
        <v>304.983678</v>
      </c>
      <c r="O29" s="52">
        <f t="shared" ref="O29" si="46">O30+O31+O35+O36</f>
        <v>297.61112400000002</v>
      </c>
      <c r="P29" s="52">
        <f t="shared" ref="P29" si="47">P30+P31+P35+P36</f>
        <v>299.65293899999995</v>
      </c>
      <c r="Q29" s="52">
        <f t="shared" ref="Q29" si="48">Q30+Q31+Q35+Q36</f>
        <v>333.27242799999999</v>
      </c>
      <c r="R29" s="52">
        <f t="shared" ref="R29" si="49">R30+R31+R35+R36</f>
        <v>289.45626500000003</v>
      </c>
      <c r="S29" s="52">
        <f t="shared" ref="S29" si="50">S30+S31+S35+S36</f>
        <v>362.64374800000002</v>
      </c>
      <c r="T29" s="52">
        <f t="shared" ref="T29" si="51">T30+T31+T35+T36</f>
        <v>455.61957000000007</v>
      </c>
      <c r="U29" s="52">
        <f t="shared" ref="U29" si="52">U30+U31+U35+U36</f>
        <v>470.07450899999998</v>
      </c>
      <c r="V29" s="52">
        <f t="shared" ref="V29" si="53">V30+V31+V35+V36</f>
        <v>424.00883800000003</v>
      </c>
      <c r="W29" s="52">
        <f t="shared" ref="W29" si="54">W30+W31+W35+W36</f>
        <v>165.01229800000002</v>
      </c>
      <c r="X29" s="52">
        <f t="shared" ref="X29" si="55">X30+X31+X35+X36</f>
        <v>552.79776700000002</v>
      </c>
      <c r="Y29" s="52">
        <f t="shared" ref="Y29" si="56">Y30+Y31+Y35+Y36</f>
        <v>522.31335200000001</v>
      </c>
      <c r="Z29" s="52">
        <f t="shared" ref="Z29" si="57">Z30+Z31+Z35+Z36</f>
        <v>531.53495299999997</v>
      </c>
      <c r="AA29" s="52">
        <f t="shared" ref="AA29" si="58">AA30+AA31+AA35+AA36</f>
        <v>548.106179</v>
      </c>
      <c r="AB29" s="52">
        <f t="shared" ref="AB29:AC29" si="59">AB30+AB31+AB35+AB36</f>
        <v>571.72480900000005</v>
      </c>
      <c r="AC29" s="52">
        <f t="shared" si="59"/>
        <v>568.664717</v>
      </c>
      <c r="AD29" s="52">
        <v>534.69743900000003</v>
      </c>
      <c r="AE29" s="52">
        <v>542.33374300000003</v>
      </c>
    </row>
    <row r="30" spans="1:31" s="53" customFormat="1" x14ac:dyDescent="0.35">
      <c r="A30" s="57">
        <v>27</v>
      </c>
      <c r="B30" s="35"/>
      <c r="C30" s="35"/>
      <c r="D30" s="46" t="s">
        <v>10</v>
      </c>
      <c r="E30" s="46" t="s">
        <v>18</v>
      </c>
    </row>
    <row r="31" spans="1:31" s="54" customFormat="1" x14ac:dyDescent="0.35">
      <c r="A31" s="57">
        <v>28</v>
      </c>
      <c r="B31" s="35"/>
      <c r="C31" s="35"/>
      <c r="D31" s="46" t="s">
        <v>11</v>
      </c>
      <c r="E31" s="46" t="s">
        <v>0</v>
      </c>
      <c r="F31" s="54">
        <f t="shared" ref="F31:K31" si="60">SUM(F32:F34)</f>
        <v>82.951656</v>
      </c>
      <c r="G31" s="54">
        <f t="shared" si="60"/>
        <v>157.40569500000001</v>
      </c>
      <c r="H31" s="54">
        <f t="shared" si="60"/>
        <v>418.69337300000001</v>
      </c>
      <c r="I31" s="54">
        <f t="shared" si="60"/>
        <v>367.59858499999996</v>
      </c>
      <c r="J31" s="54">
        <f t="shared" si="60"/>
        <v>464.36471600000004</v>
      </c>
      <c r="K31" s="54">
        <f t="shared" si="60"/>
        <v>531.469829</v>
      </c>
      <c r="L31" s="54">
        <f t="shared" ref="L31" si="61">SUM(L32:L34)</f>
        <v>456.35570400000006</v>
      </c>
      <c r="M31" s="54">
        <f t="shared" ref="M31" si="62">SUM(M32:M34)</f>
        <v>369.13047599999999</v>
      </c>
      <c r="N31" s="54">
        <f t="shared" ref="N31" si="63">SUM(N32:N34)</f>
        <v>304.983678</v>
      </c>
      <c r="O31" s="54">
        <f t="shared" ref="O31" si="64">SUM(O32:O34)</f>
        <v>297.61112400000002</v>
      </c>
      <c r="P31" s="54">
        <f t="shared" ref="P31" si="65">SUM(P32:P34)</f>
        <v>299.65293899999995</v>
      </c>
      <c r="Q31" s="54">
        <f t="shared" ref="Q31" si="66">SUM(Q32:Q34)</f>
        <v>333.27242799999999</v>
      </c>
      <c r="R31" s="54">
        <f t="shared" ref="R31" si="67">SUM(R32:R34)</f>
        <v>289.45626500000003</v>
      </c>
      <c r="S31" s="54">
        <f t="shared" ref="S31" si="68">SUM(S32:S34)</f>
        <v>362.64374800000002</v>
      </c>
      <c r="T31" s="54">
        <f t="shared" ref="T31" si="69">SUM(T32:T34)</f>
        <v>455.61957000000007</v>
      </c>
      <c r="U31" s="54">
        <f t="shared" ref="U31" si="70">SUM(U32:U34)</f>
        <v>470.07450899999998</v>
      </c>
      <c r="V31" s="54">
        <f t="shared" ref="V31" si="71">SUM(V32:V34)</f>
        <v>424.00883800000003</v>
      </c>
      <c r="W31" s="54">
        <f t="shared" ref="W31" si="72">SUM(W32:W34)</f>
        <v>165.01229800000002</v>
      </c>
      <c r="X31" s="54">
        <f t="shared" ref="X31" si="73">SUM(X32:X34)</f>
        <v>552.79776700000002</v>
      </c>
      <c r="Y31" s="54">
        <f t="shared" ref="Y31" si="74">SUM(Y32:Y34)</f>
        <v>522.31335200000001</v>
      </c>
      <c r="Z31" s="54">
        <f t="shared" ref="Z31" si="75">SUM(Z32:Z34)</f>
        <v>531.53495299999997</v>
      </c>
      <c r="AA31" s="54">
        <f t="shared" ref="AA31" si="76">SUM(AA32:AA34)</f>
        <v>548.106179</v>
      </c>
      <c r="AB31" s="54">
        <f t="shared" ref="AB31:AC31" si="77">SUM(AB32:AB34)</f>
        <v>571.72480900000005</v>
      </c>
      <c r="AC31" s="54">
        <f t="shared" si="77"/>
        <v>568.664717</v>
      </c>
      <c r="AD31" s="54">
        <v>534.69743900000003</v>
      </c>
      <c r="AE31" s="54">
        <v>542.33374300000003</v>
      </c>
    </row>
    <row r="32" spans="1:31" s="55" customFormat="1" x14ac:dyDescent="0.35">
      <c r="A32" s="57">
        <v>29</v>
      </c>
      <c r="B32" s="35"/>
      <c r="C32" s="35"/>
      <c r="D32" s="47" t="s">
        <v>21</v>
      </c>
      <c r="E32" s="47" t="s">
        <v>20</v>
      </c>
      <c r="F32" s="55">
        <v>9.6660609999999991</v>
      </c>
      <c r="G32" s="55">
        <v>15.16981</v>
      </c>
      <c r="H32" s="55">
        <v>13.704703</v>
      </c>
      <c r="I32" s="55">
        <v>49.076060999999996</v>
      </c>
      <c r="J32" s="55">
        <v>15.182538000000001</v>
      </c>
      <c r="K32" s="55">
        <v>16.34712</v>
      </c>
      <c r="L32" s="55">
        <v>16.939402000000001</v>
      </c>
      <c r="M32" s="55">
        <v>16.567979999999999</v>
      </c>
      <c r="N32" s="55">
        <v>13.713749</v>
      </c>
      <c r="O32" s="55">
        <v>14.321404000000001</v>
      </c>
      <c r="P32" s="55">
        <v>15.554583000000001</v>
      </c>
      <c r="Q32" s="55">
        <v>14.706541000000001</v>
      </c>
      <c r="R32" s="55">
        <v>14.694796</v>
      </c>
      <c r="S32" s="55">
        <v>14.513635999999998</v>
      </c>
      <c r="T32" s="55">
        <v>15.612393000000001</v>
      </c>
      <c r="U32" s="55">
        <v>16.345479999999998</v>
      </c>
      <c r="V32" s="55">
        <v>16.819499999999998</v>
      </c>
      <c r="W32" s="55">
        <v>19.282296000000002</v>
      </c>
      <c r="X32" s="55">
        <v>22.149746999999998</v>
      </c>
      <c r="Y32" s="55">
        <v>21.453733000000003</v>
      </c>
      <c r="Z32" s="55">
        <v>21.833988999999999</v>
      </c>
      <c r="AA32" s="55">
        <v>20.330942999999998</v>
      </c>
      <c r="AB32" s="55">
        <v>21.249024000000006</v>
      </c>
      <c r="AC32" s="55">
        <v>18.356684999999999</v>
      </c>
      <c r="AD32" s="55">
        <v>17.332750000000001</v>
      </c>
      <c r="AE32" s="55">
        <v>17.907314999999997</v>
      </c>
    </row>
    <row r="33" spans="1:31" s="55" customFormat="1" x14ac:dyDescent="0.35">
      <c r="A33" s="57">
        <v>30</v>
      </c>
      <c r="B33" s="35"/>
      <c r="C33" s="35"/>
      <c r="D33" s="47" t="s">
        <v>12</v>
      </c>
      <c r="E33" s="47" t="s">
        <v>22</v>
      </c>
      <c r="F33" s="55">
        <v>73.285595000000001</v>
      </c>
      <c r="G33" s="55">
        <v>142.235885</v>
      </c>
      <c r="H33" s="55">
        <v>404.98867000000001</v>
      </c>
      <c r="I33" s="55">
        <v>318.52252399999998</v>
      </c>
      <c r="J33" s="55">
        <v>449.18217800000002</v>
      </c>
      <c r="K33" s="55">
        <v>515.12270899999999</v>
      </c>
      <c r="L33" s="55">
        <v>439.41630200000003</v>
      </c>
      <c r="M33" s="55">
        <v>352.56249600000001</v>
      </c>
      <c r="N33" s="55">
        <v>291.26992899999999</v>
      </c>
      <c r="O33" s="55">
        <v>283.28971999999999</v>
      </c>
      <c r="P33" s="55">
        <v>284.09835599999997</v>
      </c>
      <c r="Q33" s="55">
        <v>318.56588699999998</v>
      </c>
      <c r="R33" s="55">
        <v>274.76146900000003</v>
      </c>
      <c r="S33" s="55">
        <v>348.130112</v>
      </c>
      <c r="T33" s="55">
        <v>440.00717700000007</v>
      </c>
      <c r="U33" s="55">
        <v>453.72902899999997</v>
      </c>
      <c r="V33" s="55">
        <v>407.18933800000002</v>
      </c>
      <c r="W33" s="55">
        <v>145.73000200000001</v>
      </c>
      <c r="X33" s="55">
        <v>530.64801999999997</v>
      </c>
      <c r="Y33" s="55">
        <v>500.85961900000001</v>
      </c>
      <c r="Z33" s="55">
        <v>509.700964</v>
      </c>
      <c r="AA33" s="55">
        <v>527.77523599999995</v>
      </c>
      <c r="AB33" s="55">
        <v>550.47578500000009</v>
      </c>
      <c r="AC33" s="55">
        <v>550.30803200000003</v>
      </c>
      <c r="AD33" s="55">
        <v>517.364689</v>
      </c>
      <c r="AE33" s="55">
        <v>524.42642799999999</v>
      </c>
    </row>
    <row r="34" spans="1:31" s="55" customFormat="1" x14ac:dyDescent="0.35">
      <c r="A34" s="57">
        <v>31</v>
      </c>
      <c r="B34" s="35"/>
      <c r="C34" s="35"/>
      <c r="D34" s="47" t="s">
        <v>13</v>
      </c>
      <c r="E34" s="47" t="s">
        <v>23</v>
      </c>
      <c r="F34" s="55">
        <v>0</v>
      </c>
      <c r="G34" s="55">
        <v>0</v>
      </c>
      <c r="H34" s="55">
        <v>0</v>
      </c>
      <c r="I34" s="55">
        <v>0</v>
      </c>
      <c r="J34" s="55">
        <v>0</v>
      </c>
      <c r="K34" s="55">
        <v>0</v>
      </c>
      <c r="L34" s="55">
        <v>0</v>
      </c>
      <c r="M34" s="55">
        <v>0</v>
      </c>
      <c r="N34" s="55">
        <v>0</v>
      </c>
      <c r="O34" s="55">
        <v>0</v>
      </c>
      <c r="P34" s="55">
        <v>0</v>
      </c>
      <c r="Q34" s="55">
        <v>0</v>
      </c>
      <c r="R34" s="55">
        <v>0</v>
      </c>
      <c r="S34" s="55">
        <v>0</v>
      </c>
      <c r="T34" s="55">
        <v>0</v>
      </c>
      <c r="U34" s="55">
        <v>0</v>
      </c>
      <c r="V34" s="55">
        <v>0</v>
      </c>
      <c r="W34" s="55">
        <v>0</v>
      </c>
      <c r="X34" s="55">
        <v>0</v>
      </c>
      <c r="Y34" s="55">
        <v>0</v>
      </c>
      <c r="Z34" s="55">
        <v>0</v>
      </c>
      <c r="AA34" s="55">
        <v>0</v>
      </c>
      <c r="AB34" s="55">
        <v>0</v>
      </c>
      <c r="AC34" s="55">
        <v>0</v>
      </c>
      <c r="AD34" s="55">
        <v>0</v>
      </c>
      <c r="AE34" s="55">
        <v>0</v>
      </c>
    </row>
    <row r="35" spans="1:31" s="54" customFormat="1" x14ac:dyDescent="0.35">
      <c r="A35" s="57">
        <v>32</v>
      </c>
      <c r="B35" s="35"/>
      <c r="C35" s="35"/>
      <c r="D35" s="46" t="s">
        <v>1</v>
      </c>
      <c r="E35" s="46" t="s">
        <v>24</v>
      </c>
      <c r="F35" s="54">
        <v>0</v>
      </c>
      <c r="G35" s="54">
        <v>0</v>
      </c>
      <c r="H35" s="54">
        <v>0</v>
      </c>
      <c r="I35" s="54">
        <v>0</v>
      </c>
      <c r="J35" s="54">
        <v>0</v>
      </c>
      <c r="K35" s="54">
        <v>0</v>
      </c>
      <c r="L35" s="54">
        <v>0</v>
      </c>
      <c r="M35" s="54">
        <v>0</v>
      </c>
      <c r="N35" s="54">
        <v>0</v>
      </c>
      <c r="O35" s="54">
        <v>0</v>
      </c>
      <c r="P35" s="54">
        <v>0</v>
      </c>
      <c r="Q35" s="54">
        <v>0</v>
      </c>
      <c r="R35" s="54">
        <v>0</v>
      </c>
      <c r="S35" s="54">
        <v>0</v>
      </c>
      <c r="T35" s="54">
        <v>0</v>
      </c>
      <c r="U35" s="54">
        <v>0</v>
      </c>
      <c r="V35" s="54">
        <v>0</v>
      </c>
      <c r="W35" s="54">
        <v>0</v>
      </c>
      <c r="X35" s="54">
        <v>0</v>
      </c>
      <c r="Y35" s="54">
        <v>0</v>
      </c>
      <c r="Z35" s="54">
        <v>0</v>
      </c>
      <c r="AA35" s="54">
        <v>0</v>
      </c>
      <c r="AB35" s="54">
        <v>0</v>
      </c>
      <c r="AC35" s="54">
        <v>0</v>
      </c>
      <c r="AD35" s="54">
        <v>0</v>
      </c>
      <c r="AE35" s="54">
        <v>0</v>
      </c>
    </row>
    <row r="36" spans="1:31" s="54" customFormat="1" x14ac:dyDescent="0.35">
      <c r="A36" s="57">
        <v>33</v>
      </c>
      <c r="B36" s="35"/>
      <c r="C36" s="35"/>
      <c r="D36" s="46" t="s">
        <v>25</v>
      </c>
      <c r="E36" s="46" t="s">
        <v>26</v>
      </c>
      <c r="F36" s="54">
        <v>0</v>
      </c>
      <c r="G36" s="54">
        <v>0</v>
      </c>
      <c r="H36" s="54">
        <v>0</v>
      </c>
      <c r="I36" s="54">
        <v>0</v>
      </c>
      <c r="J36" s="54">
        <v>0</v>
      </c>
      <c r="K36" s="54">
        <v>0</v>
      </c>
      <c r="L36" s="54">
        <v>0</v>
      </c>
      <c r="M36" s="54">
        <v>0</v>
      </c>
      <c r="N36" s="54">
        <v>0</v>
      </c>
      <c r="O36" s="54">
        <v>0</v>
      </c>
      <c r="P36" s="54">
        <v>0</v>
      </c>
      <c r="Q36" s="54">
        <v>0</v>
      </c>
      <c r="R36" s="54">
        <v>0</v>
      </c>
      <c r="S36" s="54">
        <v>0</v>
      </c>
      <c r="T36" s="54">
        <v>0</v>
      </c>
      <c r="U36" s="54">
        <v>0</v>
      </c>
      <c r="V36" s="54">
        <v>0</v>
      </c>
      <c r="W36" s="54">
        <v>0</v>
      </c>
      <c r="X36" s="54">
        <v>0</v>
      </c>
      <c r="Y36" s="54">
        <v>0</v>
      </c>
      <c r="Z36" s="54">
        <v>0</v>
      </c>
      <c r="AA36" s="54">
        <v>0</v>
      </c>
      <c r="AB36" s="54">
        <v>0</v>
      </c>
      <c r="AC36" s="54">
        <v>0</v>
      </c>
      <c r="AD36" s="54">
        <v>0</v>
      </c>
      <c r="AE36" s="54">
        <v>0</v>
      </c>
    </row>
    <row r="37" spans="1:31" s="52" customFormat="1" ht="15.5" x14ac:dyDescent="0.35">
      <c r="A37" s="57">
        <v>34</v>
      </c>
      <c r="B37" s="35"/>
      <c r="C37" s="35"/>
      <c r="D37" s="45" t="s">
        <v>15</v>
      </c>
      <c r="E37" s="45" t="s">
        <v>17</v>
      </c>
      <c r="F37" s="52">
        <v>2873.2863600000001</v>
      </c>
      <c r="G37" s="52">
        <v>3000.007396</v>
      </c>
      <c r="H37" s="52">
        <v>2596.6653700000002</v>
      </c>
      <c r="I37" s="52">
        <v>2593.3476560000004</v>
      </c>
      <c r="J37" s="52">
        <v>2915.0833269999998</v>
      </c>
      <c r="K37" s="52">
        <v>3194.0808019999999</v>
      </c>
      <c r="L37" s="52">
        <v>2972.105552</v>
      </c>
      <c r="M37" s="52">
        <v>3055.3917349999997</v>
      </c>
      <c r="N37" s="52">
        <v>3353.059788</v>
      </c>
      <c r="O37" s="52">
        <v>3614.5858319999993</v>
      </c>
      <c r="P37" s="52">
        <v>3268.4851650000005</v>
      </c>
      <c r="Q37" s="52">
        <v>3192.1797710000001</v>
      </c>
      <c r="R37" s="52">
        <v>3341.7760639999997</v>
      </c>
      <c r="S37" s="52">
        <v>3100.1331599999994</v>
      </c>
      <c r="T37" s="52">
        <v>3549.351392</v>
      </c>
      <c r="U37" s="52">
        <v>4477.1314240000002</v>
      </c>
      <c r="V37" s="52">
        <v>5324.7467260000003</v>
      </c>
      <c r="W37" s="52">
        <v>4579.3630400000002</v>
      </c>
      <c r="X37" s="52">
        <v>5282.7169220000005</v>
      </c>
      <c r="Y37" s="52">
        <v>3940.4263120000001</v>
      </c>
      <c r="Z37" s="52">
        <v>4418.911994</v>
      </c>
      <c r="AA37" s="52">
        <v>4878.8148499999998</v>
      </c>
      <c r="AB37" s="52">
        <v>5105.7351859999999</v>
      </c>
      <c r="AC37" s="52">
        <v>5714.0059999999994</v>
      </c>
      <c r="AD37" s="52">
        <v>5627.0707409999995</v>
      </c>
      <c r="AE37" s="52">
        <v>5183.3405380000004</v>
      </c>
    </row>
    <row r="38" spans="1:31" s="51" customFormat="1" ht="9" customHeight="1" x14ac:dyDescent="0.35">
      <c r="A38" s="57">
        <v>35</v>
      </c>
      <c r="B38" s="35"/>
      <c r="C38" s="35"/>
      <c r="D38" s="49"/>
      <c r="E38" s="49"/>
      <c r="F38" s="51">
        <v>0</v>
      </c>
      <c r="G38" s="51">
        <v>0</v>
      </c>
      <c r="H38" s="51">
        <v>0</v>
      </c>
      <c r="I38" s="51">
        <v>0</v>
      </c>
      <c r="J38" s="51">
        <v>0</v>
      </c>
      <c r="K38" s="51">
        <v>0</v>
      </c>
      <c r="L38" s="51">
        <v>0</v>
      </c>
      <c r="M38" s="51">
        <v>0</v>
      </c>
      <c r="N38" s="51">
        <v>0</v>
      </c>
      <c r="O38" s="51">
        <v>0</v>
      </c>
      <c r="P38" s="51">
        <v>0</v>
      </c>
      <c r="Q38" s="51">
        <v>0</v>
      </c>
      <c r="R38" s="51">
        <v>0</v>
      </c>
      <c r="S38" s="51">
        <v>0</v>
      </c>
      <c r="T38" s="51">
        <v>0</v>
      </c>
      <c r="U38" s="51">
        <v>0</v>
      </c>
      <c r="V38" s="51">
        <v>0</v>
      </c>
      <c r="W38" s="51">
        <v>0</v>
      </c>
      <c r="X38" s="51">
        <v>0</v>
      </c>
      <c r="Y38" s="51">
        <v>0</v>
      </c>
      <c r="Z38" s="51">
        <v>0</v>
      </c>
      <c r="AA38" s="51">
        <v>0</v>
      </c>
      <c r="AB38" s="51">
        <v>0</v>
      </c>
      <c r="AC38" s="51">
        <v>0</v>
      </c>
      <c r="AD38" s="51">
        <v>0</v>
      </c>
      <c r="AE38" s="51">
        <v>0</v>
      </c>
    </row>
    <row r="39" spans="1:31" s="56" customFormat="1" ht="26.15" customHeight="1" x14ac:dyDescent="0.45">
      <c r="A39" s="57">
        <v>36</v>
      </c>
      <c r="B39" s="42"/>
      <c r="C39" s="44" t="s">
        <v>19</v>
      </c>
      <c r="D39" s="44"/>
      <c r="E39" s="35"/>
      <c r="W39" s="99"/>
      <c r="AA39" s="99"/>
      <c r="AE39" s="99"/>
    </row>
    <row r="40" spans="1:31" s="52" customFormat="1" ht="18" customHeight="1" x14ac:dyDescent="0.35">
      <c r="A40" s="57">
        <v>37</v>
      </c>
      <c r="B40" s="35"/>
      <c r="C40" s="35"/>
      <c r="D40" s="45" t="s">
        <v>9</v>
      </c>
      <c r="E40" s="45" t="s">
        <v>30</v>
      </c>
      <c r="F40" s="52">
        <f t="shared" ref="F40:K40" si="78">F41+F42+F46+F47</f>
        <v>11453.375396873422</v>
      </c>
      <c r="G40" s="52">
        <f t="shared" si="78"/>
        <v>12070.592880519895</v>
      </c>
      <c r="H40" s="52">
        <f t="shared" si="78"/>
        <v>12552.38688056643</v>
      </c>
      <c r="I40" s="52">
        <f t="shared" si="78"/>
        <v>12338.793283075</v>
      </c>
      <c r="J40" s="52">
        <f t="shared" si="78"/>
        <v>12017.830783973926</v>
      </c>
      <c r="K40" s="52">
        <f t="shared" si="78"/>
        <v>12223.754387425328</v>
      </c>
      <c r="L40" s="52">
        <f t="shared" ref="L40" si="79">L41+L42+L46+L47</f>
        <v>12121.561235076513</v>
      </c>
      <c r="M40" s="52">
        <f t="shared" ref="M40" si="80">M41+M42+M46+M47</f>
        <v>12132.551849524376</v>
      </c>
      <c r="N40" s="52">
        <f t="shared" ref="N40" si="81">N41+N42+N46+N47</f>
        <v>12524.318645986234</v>
      </c>
      <c r="O40" s="52">
        <f t="shared" ref="O40" si="82">O41+O42+O46+O47</f>
        <v>12616.862029500955</v>
      </c>
      <c r="P40" s="52">
        <f t="shared" ref="P40" si="83">P41+P42+P46+P47</f>
        <v>12726.649230936426</v>
      </c>
      <c r="Q40" s="52">
        <f t="shared" ref="Q40" si="84">Q41+Q42+Q46+Q47</f>
        <v>12554.596885267985</v>
      </c>
      <c r="R40" s="52">
        <f t="shared" ref="R40" si="85">R41+R42+R46+R47</f>
        <v>12508.562543888365</v>
      </c>
      <c r="S40" s="52">
        <f t="shared" ref="S40" si="86">S41+S42+S46+S47</f>
        <v>12493.658517974211</v>
      </c>
      <c r="T40" s="52">
        <f t="shared" ref="T40" si="87">T41+T42+T46+T47</f>
        <v>12661.666726679621</v>
      </c>
      <c r="U40" s="52">
        <f t="shared" ref="U40" si="88">U41+U42+U46+U47</f>
        <v>12744.992844135961</v>
      </c>
      <c r="V40" s="52">
        <f t="shared" ref="V40" si="89">V41+V42+V46+V47</f>
        <v>12969.439352852005</v>
      </c>
      <c r="W40" s="52">
        <f t="shared" ref="W40" si="90">W41+W42+W46+W47</f>
        <v>12944.722132290586</v>
      </c>
      <c r="X40" s="52">
        <f t="shared" ref="X40" si="91">X41+X42+X46+X47</f>
        <v>12994.082439314254</v>
      </c>
      <c r="Y40" s="52">
        <f t="shared" ref="Y40" si="92">Y41+Y42+Y46+Y47</f>
        <v>12923.752000014785</v>
      </c>
      <c r="Z40" s="52">
        <f t="shared" ref="Z40" si="93">Z41+Z42+Z46+Z47</f>
        <v>12973.039382723122</v>
      </c>
      <c r="AA40" s="52">
        <f t="shared" ref="AA40" si="94">AA41+AA42+AA46+AA47</f>
        <v>13863.875706352686</v>
      </c>
      <c r="AB40" s="52">
        <f t="shared" ref="AB40:AC40" si="95">AB41+AB42+AB46+AB47</f>
        <v>13847.324751732884</v>
      </c>
      <c r="AC40" s="52">
        <f t="shared" si="95"/>
        <v>13934.394996264144</v>
      </c>
      <c r="AD40" s="52">
        <v>14119.380577875998</v>
      </c>
      <c r="AE40" s="52">
        <v>13329.804480983505</v>
      </c>
    </row>
    <row r="41" spans="1:31" s="53" customFormat="1" x14ac:dyDescent="0.35">
      <c r="A41" s="57">
        <v>38</v>
      </c>
      <c r="B41" s="35"/>
      <c r="C41" s="35"/>
      <c r="D41" s="46" t="s">
        <v>10</v>
      </c>
      <c r="E41" s="46" t="s">
        <v>18</v>
      </c>
    </row>
    <row r="42" spans="1:31" s="54" customFormat="1" x14ac:dyDescent="0.35">
      <c r="A42" s="57">
        <v>39</v>
      </c>
      <c r="B42" s="35"/>
      <c r="C42" s="35"/>
      <c r="D42" s="46" t="s">
        <v>11</v>
      </c>
      <c r="E42" s="46" t="s">
        <v>0</v>
      </c>
      <c r="F42" s="54">
        <f t="shared" ref="F42:K42" si="96">SUM(F43:F45)</f>
        <v>11453.375396873422</v>
      </c>
      <c r="G42" s="54">
        <f t="shared" si="96"/>
        <v>12070.592880519895</v>
      </c>
      <c r="H42" s="54">
        <f t="shared" si="96"/>
        <v>12552.38688056643</v>
      </c>
      <c r="I42" s="54">
        <f t="shared" si="96"/>
        <v>12338.793283075</v>
      </c>
      <c r="J42" s="54">
        <f t="shared" si="96"/>
        <v>12017.830783973926</v>
      </c>
      <c r="K42" s="54">
        <f t="shared" si="96"/>
        <v>12223.754387425328</v>
      </c>
      <c r="L42" s="54">
        <f t="shared" ref="L42" si="97">SUM(L43:L45)</f>
        <v>12121.561235076513</v>
      </c>
      <c r="M42" s="54">
        <f t="shared" ref="M42" si="98">SUM(M43:M45)</f>
        <v>12132.551849524376</v>
      </c>
      <c r="N42" s="54">
        <f t="shared" ref="N42" si="99">SUM(N43:N45)</f>
        <v>12524.318645986234</v>
      </c>
      <c r="O42" s="54">
        <f t="shared" ref="O42" si="100">SUM(O43:O45)</f>
        <v>12616.862029500955</v>
      </c>
      <c r="P42" s="54">
        <f t="shared" ref="P42" si="101">SUM(P43:P45)</f>
        <v>12726.649230936426</v>
      </c>
      <c r="Q42" s="54">
        <f t="shared" ref="Q42" si="102">SUM(Q43:Q45)</f>
        <v>12554.596885267985</v>
      </c>
      <c r="R42" s="54">
        <f t="shared" ref="R42" si="103">SUM(R43:R45)</f>
        <v>12508.562543888365</v>
      </c>
      <c r="S42" s="54">
        <f t="shared" ref="S42" si="104">SUM(S43:S45)</f>
        <v>12493.658517974211</v>
      </c>
      <c r="T42" s="54">
        <f t="shared" ref="T42" si="105">SUM(T43:T45)</f>
        <v>12661.666726679621</v>
      </c>
      <c r="U42" s="54">
        <f t="shared" ref="U42" si="106">SUM(U43:U45)</f>
        <v>12744.992844135961</v>
      </c>
      <c r="V42" s="54">
        <f t="shared" ref="V42" si="107">SUM(V43:V45)</f>
        <v>12969.439352852005</v>
      </c>
      <c r="W42" s="54">
        <f t="shared" ref="W42" si="108">SUM(W43:W45)</f>
        <v>12944.722132290586</v>
      </c>
      <c r="X42" s="54">
        <f t="shared" ref="X42" si="109">SUM(X43:X45)</f>
        <v>12994.082439314254</v>
      </c>
      <c r="Y42" s="54">
        <f t="shared" ref="Y42" si="110">SUM(Y43:Y45)</f>
        <v>12923.752000014785</v>
      </c>
      <c r="Z42" s="54">
        <f t="shared" ref="Z42" si="111">SUM(Z43:Z45)</f>
        <v>12973.039382723122</v>
      </c>
      <c r="AA42" s="54">
        <f t="shared" ref="AA42" si="112">SUM(AA43:AA45)</f>
        <v>13863.875706352686</v>
      </c>
      <c r="AB42" s="54">
        <f t="shared" ref="AB42:AC42" si="113">SUM(AB43:AB45)</f>
        <v>13847.324751732884</v>
      </c>
      <c r="AC42" s="54">
        <f t="shared" si="113"/>
        <v>13934.394996264144</v>
      </c>
      <c r="AD42" s="54">
        <v>14119.380577875998</v>
      </c>
      <c r="AE42" s="54">
        <v>13329.804480983505</v>
      </c>
    </row>
    <row r="43" spans="1:31" s="55" customFormat="1" x14ac:dyDescent="0.35">
      <c r="A43" s="57">
        <v>40</v>
      </c>
      <c r="B43" s="35"/>
      <c r="C43" s="35"/>
      <c r="D43" s="47" t="s">
        <v>21</v>
      </c>
      <c r="E43" s="47" t="s">
        <v>20</v>
      </c>
      <c r="F43" s="55">
        <v>11009.439455154701</v>
      </c>
      <c r="G43" s="55">
        <v>11604.188681658894</v>
      </c>
      <c r="H43" s="55">
        <v>12073.206404781398</v>
      </c>
      <c r="I43" s="55">
        <v>11745.072334994002</v>
      </c>
      <c r="J43" s="55">
        <v>11412.638328750896</v>
      </c>
      <c r="K43" s="55">
        <v>11687.114249810298</v>
      </c>
      <c r="L43" s="55">
        <v>11521.291278239398</v>
      </c>
      <c r="M43" s="55">
        <v>11485.2042463</v>
      </c>
      <c r="N43" s="55">
        <v>11803.764449568998</v>
      </c>
      <c r="O43" s="55">
        <v>11919.645699940898</v>
      </c>
      <c r="P43" s="55">
        <v>11989.434205228199</v>
      </c>
      <c r="Q43" s="55">
        <v>11776.387710717599</v>
      </c>
      <c r="R43" s="55">
        <v>11738.1946899663</v>
      </c>
      <c r="S43" s="55">
        <v>11711.986954848398</v>
      </c>
      <c r="T43" s="55">
        <v>11825.172593881198</v>
      </c>
      <c r="U43" s="55">
        <v>11844.542146714897</v>
      </c>
      <c r="V43" s="55">
        <v>12119.765753487098</v>
      </c>
      <c r="W43" s="55">
        <v>12061.718111354097</v>
      </c>
      <c r="X43" s="55">
        <v>12039.089463138847</v>
      </c>
      <c r="Y43" s="55">
        <v>11914.329121807097</v>
      </c>
      <c r="Z43" s="55">
        <v>11908.908315347839</v>
      </c>
      <c r="AA43" s="55">
        <v>12728.598810473315</v>
      </c>
      <c r="AB43" s="55">
        <v>12732.627647413425</v>
      </c>
      <c r="AC43" s="55">
        <v>12777.109765374234</v>
      </c>
      <c r="AD43" s="55">
        <v>12959.670344423303</v>
      </c>
      <c r="AE43" s="55">
        <v>12134.992205893008</v>
      </c>
    </row>
    <row r="44" spans="1:31" s="55" customFormat="1" x14ac:dyDescent="0.35">
      <c r="A44" s="57">
        <v>41</v>
      </c>
      <c r="B44" s="35"/>
      <c r="C44" s="35"/>
      <c r="D44" s="47" t="s">
        <v>12</v>
      </c>
      <c r="E44" s="47" t="s">
        <v>22</v>
      </c>
      <c r="F44" s="55">
        <v>0</v>
      </c>
      <c r="G44" s="55">
        <v>0</v>
      </c>
      <c r="H44" s="55">
        <v>0</v>
      </c>
      <c r="I44" s="55">
        <v>130.61320035068283</v>
      </c>
      <c r="J44" s="55">
        <v>230.68979825422721</v>
      </c>
      <c r="K44" s="55">
        <v>275.69674212964736</v>
      </c>
      <c r="L44" s="55">
        <v>331.97897326149882</v>
      </c>
      <c r="M44" s="55">
        <v>374.35771250220569</v>
      </c>
      <c r="N44" s="55">
        <v>412.15972745082536</v>
      </c>
      <c r="O44" s="55">
        <v>418.16142736080474</v>
      </c>
      <c r="P44" s="55">
        <v>458.69309516709905</v>
      </c>
      <c r="Q44" s="55">
        <v>489.07030176290601</v>
      </c>
      <c r="R44" s="55">
        <v>496.27524364678897</v>
      </c>
      <c r="S44" s="55">
        <v>493.18052072266875</v>
      </c>
      <c r="T44" s="55">
        <v>506.43702565394051</v>
      </c>
      <c r="U44" s="55">
        <v>557.25279239907616</v>
      </c>
      <c r="V44" s="55">
        <v>585.70203829468335</v>
      </c>
      <c r="W44" s="55">
        <v>584.49239816689544</v>
      </c>
      <c r="X44" s="55">
        <v>617.44421022315385</v>
      </c>
      <c r="Y44" s="55">
        <v>629.62379462227966</v>
      </c>
      <c r="Z44" s="55">
        <v>693.36692342079289</v>
      </c>
      <c r="AA44" s="55">
        <v>755.77197095920087</v>
      </c>
      <c r="AB44" s="55">
        <v>723.55676597141792</v>
      </c>
      <c r="AC44" s="55">
        <v>727.05776600496586</v>
      </c>
      <c r="AD44" s="55">
        <v>724.59496762678873</v>
      </c>
      <c r="AE44" s="55">
        <v>754.18247168859921</v>
      </c>
    </row>
    <row r="45" spans="1:31" s="55" customFormat="1" x14ac:dyDescent="0.35">
      <c r="A45" s="57">
        <v>42</v>
      </c>
      <c r="B45" s="35"/>
      <c r="C45" s="35"/>
      <c r="D45" s="47" t="s">
        <v>13</v>
      </c>
      <c r="E45" s="47" t="s">
        <v>23</v>
      </c>
      <c r="F45" s="55">
        <v>443.93594171872064</v>
      </c>
      <c r="G45" s="55">
        <v>466.40419886100102</v>
      </c>
      <c r="H45" s="55">
        <v>479.18047578503115</v>
      </c>
      <c r="I45" s="55">
        <v>463.10774773031454</v>
      </c>
      <c r="J45" s="55">
        <v>374.50265696880365</v>
      </c>
      <c r="K45" s="55">
        <v>260.94339548538301</v>
      </c>
      <c r="L45" s="55">
        <v>268.29098357561691</v>
      </c>
      <c r="M45" s="55">
        <v>272.98989072217029</v>
      </c>
      <c r="N45" s="55">
        <v>308.39446896640874</v>
      </c>
      <c r="O45" s="55">
        <v>279.05490219925167</v>
      </c>
      <c r="P45" s="55">
        <v>278.52193054112871</v>
      </c>
      <c r="Q45" s="55">
        <v>289.13887278748092</v>
      </c>
      <c r="R45" s="55">
        <v>274.09261027527697</v>
      </c>
      <c r="S45" s="55">
        <v>288.49104240314415</v>
      </c>
      <c r="T45" s="55">
        <v>330.05710714448327</v>
      </c>
      <c r="U45" s="55">
        <v>343.19790502198651</v>
      </c>
      <c r="V45" s="55">
        <v>263.97156107022465</v>
      </c>
      <c r="W45" s="55">
        <v>298.51162276959172</v>
      </c>
      <c r="X45" s="55">
        <v>337.54876595225335</v>
      </c>
      <c r="Y45" s="55">
        <v>379.7990835854082</v>
      </c>
      <c r="Z45" s="55">
        <v>370.76414395448916</v>
      </c>
      <c r="AA45" s="55">
        <v>379.50492492017054</v>
      </c>
      <c r="AB45" s="55">
        <v>391.1403383480411</v>
      </c>
      <c r="AC45" s="55">
        <v>430.22746488494272</v>
      </c>
      <c r="AD45" s="55">
        <v>435.11526582590773</v>
      </c>
      <c r="AE45" s="55">
        <v>440.62980340189853</v>
      </c>
    </row>
    <row r="46" spans="1:31" s="54" customFormat="1" x14ac:dyDescent="0.35">
      <c r="A46" s="57">
        <v>43</v>
      </c>
      <c r="B46" s="35"/>
      <c r="C46" s="35"/>
      <c r="D46" s="46" t="s">
        <v>1</v>
      </c>
      <c r="E46" s="46" t="s">
        <v>24</v>
      </c>
      <c r="F46" s="54">
        <v>0</v>
      </c>
      <c r="G46" s="54">
        <v>0</v>
      </c>
      <c r="H46" s="54">
        <v>0</v>
      </c>
      <c r="I46" s="54">
        <v>0</v>
      </c>
      <c r="J46" s="54">
        <v>0</v>
      </c>
      <c r="K46" s="54">
        <v>0</v>
      </c>
      <c r="L46" s="54">
        <v>0</v>
      </c>
      <c r="M46" s="54">
        <v>0</v>
      </c>
      <c r="N46" s="54">
        <v>0</v>
      </c>
      <c r="O46" s="54">
        <v>0</v>
      </c>
      <c r="P46" s="54">
        <v>0</v>
      </c>
      <c r="Q46" s="54">
        <v>0</v>
      </c>
      <c r="R46" s="54">
        <v>0</v>
      </c>
      <c r="S46" s="54">
        <v>0</v>
      </c>
      <c r="T46" s="54">
        <v>0</v>
      </c>
      <c r="U46" s="54">
        <v>0</v>
      </c>
      <c r="V46" s="54">
        <v>0</v>
      </c>
      <c r="W46" s="54">
        <v>0</v>
      </c>
      <c r="X46" s="54">
        <v>0</v>
      </c>
      <c r="Y46" s="54">
        <v>0</v>
      </c>
      <c r="Z46" s="54">
        <v>0</v>
      </c>
      <c r="AA46" s="54">
        <v>0</v>
      </c>
      <c r="AB46" s="54">
        <v>0</v>
      </c>
      <c r="AC46" s="54">
        <v>0</v>
      </c>
      <c r="AD46" s="54">
        <v>0</v>
      </c>
      <c r="AE46" s="54">
        <v>0</v>
      </c>
    </row>
    <row r="47" spans="1:31" s="54" customFormat="1" x14ac:dyDescent="0.35">
      <c r="A47" s="57">
        <v>44</v>
      </c>
      <c r="B47" s="35"/>
      <c r="C47" s="35"/>
      <c r="D47" s="46" t="s">
        <v>25</v>
      </c>
      <c r="E47" s="46" t="s">
        <v>26</v>
      </c>
      <c r="F47" s="54">
        <v>0</v>
      </c>
      <c r="G47" s="54">
        <v>0</v>
      </c>
      <c r="H47" s="54">
        <v>0</v>
      </c>
      <c r="I47" s="54">
        <v>0</v>
      </c>
      <c r="J47" s="54">
        <v>0</v>
      </c>
      <c r="K47" s="54">
        <v>0</v>
      </c>
      <c r="L47" s="54">
        <v>0</v>
      </c>
      <c r="M47" s="54">
        <v>0</v>
      </c>
      <c r="N47" s="54">
        <v>0</v>
      </c>
      <c r="O47" s="54">
        <v>0</v>
      </c>
      <c r="P47" s="54">
        <v>0</v>
      </c>
      <c r="Q47" s="54">
        <v>0</v>
      </c>
      <c r="R47" s="54">
        <v>0</v>
      </c>
      <c r="S47" s="54">
        <v>0</v>
      </c>
      <c r="T47" s="54">
        <v>0</v>
      </c>
      <c r="U47" s="54">
        <v>0</v>
      </c>
      <c r="V47" s="54">
        <v>0</v>
      </c>
      <c r="W47" s="54">
        <v>0</v>
      </c>
      <c r="X47" s="54">
        <v>0</v>
      </c>
      <c r="Y47" s="54">
        <v>0</v>
      </c>
      <c r="Z47" s="54">
        <v>0</v>
      </c>
      <c r="AA47" s="54">
        <v>0</v>
      </c>
      <c r="AB47" s="54">
        <v>0</v>
      </c>
      <c r="AC47" s="54">
        <v>0</v>
      </c>
      <c r="AD47" s="54">
        <v>0</v>
      </c>
      <c r="AE47" s="54">
        <v>0</v>
      </c>
    </row>
    <row r="48" spans="1:31" s="52" customFormat="1" ht="15.5" x14ac:dyDescent="0.35">
      <c r="A48" s="57">
        <v>45</v>
      </c>
      <c r="B48" s="35"/>
      <c r="C48" s="35"/>
      <c r="D48" s="45" t="s">
        <v>15</v>
      </c>
      <c r="E48" s="45" t="s">
        <v>17</v>
      </c>
      <c r="F48" s="52">
        <v>3348.62889</v>
      </c>
      <c r="G48" s="52">
        <v>3586.061858</v>
      </c>
      <c r="H48" s="52">
        <v>3267.3352140000002</v>
      </c>
      <c r="I48" s="52">
        <v>3840.6505080000002</v>
      </c>
      <c r="J48" s="52">
        <v>4465.4691640000001</v>
      </c>
      <c r="K48" s="52">
        <v>4745.5122439999986</v>
      </c>
      <c r="L48" s="52">
        <v>4550.3259879999987</v>
      </c>
      <c r="M48" s="52">
        <v>4269.8162649999995</v>
      </c>
      <c r="N48" s="52">
        <v>4409.6919360000002</v>
      </c>
      <c r="O48" s="52">
        <v>4701.374667</v>
      </c>
      <c r="P48" s="52">
        <v>4778.6069199999993</v>
      </c>
      <c r="Q48" s="52">
        <v>4768.3991190000006</v>
      </c>
      <c r="R48" s="52">
        <v>4985.6913919999997</v>
      </c>
      <c r="S48" s="52">
        <v>5428.8974899999985</v>
      </c>
      <c r="T48" s="52">
        <v>5851.5920320000005</v>
      </c>
      <c r="U48" s="52">
        <v>6074.1674560000029</v>
      </c>
      <c r="V48" s="52">
        <v>6445.6754550000005</v>
      </c>
      <c r="W48" s="52">
        <v>6405.5068448581633</v>
      </c>
      <c r="X48" s="52">
        <v>5450.1379059999999</v>
      </c>
      <c r="Y48" s="52">
        <v>5444.0231050000002</v>
      </c>
      <c r="Z48" s="52">
        <v>5242.2252539999999</v>
      </c>
      <c r="AA48" s="52">
        <v>5674.5998399999999</v>
      </c>
      <c r="AB48" s="52">
        <v>6088.7658069999989</v>
      </c>
      <c r="AC48" s="52">
        <v>6334.6845000000003</v>
      </c>
      <c r="AD48" s="52">
        <v>7239.741798</v>
      </c>
      <c r="AE48" s="52">
        <v>7448.3220969999993</v>
      </c>
    </row>
    <row r="49" spans="1:31" s="51" customFormat="1" ht="18.75" customHeight="1" x14ac:dyDescent="0.35">
      <c r="A49" s="57">
        <v>46</v>
      </c>
      <c r="B49" s="35"/>
      <c r="C49" s="35"/>
      <c r="D49" s="49"/>
      <c r="E49" s="49"/>
      <c r="F49" s="51">
        <v>0</v>
      </c>
      <c r="G49" s="51">
        <v>0</v>
      </c>
      <c r="H49" s="51">
        <v>0</v>
      </c>
      <c r="I49" s="51">
        <v>0</v>
      </c>
      <c r="J49" s="51">
        <v>0</v>
      </c>
      <c r="K49" s="51">
        <v>0</v>
      </c>
      <c r="L49" s="51">
        <v>0</v>
      </c>
      <c r="M49" s="51">
        <v>0</v>
      </c>
      <c r="N49" s="51">
        <v>0</v>
      </c>
      <c r="O49" s="51">
        <v>0</v>
      </c>
      <c r="P49" s="51">
        <v>0</v>
      </c>
      <c r="Q49" s="51">
        <v>0</v>
      </c>
      <c r="R49" s="51">
        <v>0</v>
      </c>
      <c r="S49" s="51">
        <v>0</v>
      </c>
      <c r="T49" s="51">
        <v>0</v>
      </c>
      <c r="U49" s="51">
        <v>0</v>
      </c>
      <c r="V49" s="51">
        <v>0</v>
      </c>
      <c r="W49" s="51">
        <v>0</v>
      </c>
      <c r="X49" s="51">
        <v>0</v>
      </c>
      <c r="Y49" s="51">
        <v>0</v>
      </c>
      <c r="Z49" s="51">
        <v>0</v>
      </c>
      <c r="AA49" s="51">
        <v>0</v>
      </c>
      <c r="AB49" s="51">
        <v>0</v>
      </c>
      <c r="AC49" s="51">
        <v>0</v>
      </c>
      <c r="AD49" s="51">
        <v>0</v>
      </c>
      <c r="AE49" s="51">
        <v>0</v>
      </c>
    </row>
    <row r="50" spans="1:31" s="56" customFormat="1" ht="35.15" customHeight="1" x14ac:dyDescent="0.45">
      <c r="A50" s="57">
        <v>47</v>
      </c>
      <c r="B50" s="50" t="s">
        <v>28</v>
      </c>
      <c r="C50" s="42"/>
      <c r="D50" s="42"/>
      <c r="E50" s="35"/>
      <c r="S50" s="99"/>
      <c r="T50" s="99"/>
      <c r="U50" s="99"/>
      <c r="V50" s="99"/>
      <c r="W50" s="99"/>
      <c r="Y50" s="99"/>
      <c r="AA50" s="99"/>
      <c r="AC50" s="99"/>
      <c r="AE50" s="99"/>
    </row>
    <row r="51" spans="1:31" s="56" customFormat="1" ht="26.15" customHeight="1" x14ac:dyDescent="0.45">
      <c r="A51" s="57">
        <v>48</v>
      </c>
      <c r="B51" s="42"/>
      <c r="C51" s="44" t="s">
        <v>6</v>
      </c>
      <c r="D51" s="44"/>
      <c r="E51" s="35"/>
    </row>
    <row r="52" spans="1:31" s="52" customFormat="1" ht="18" customHeight="1" x14ac:dyDescent="0.35">
      <c r="A52" s="57">
        <v>49</v>
      </c>
      <c r="B52" s="35"/>
      <c r="C52" s="35"/>
      <c r="D52" s="45" t="s">
        <v>9</v>
      </c>
      <c r="E52" s="45" t="s">
        <v>30</v>
      </c>
      <c r="F52" s="52">
        <f t="shared" ref="F52:Q52" si="114">F53+F54+F58+F59</f>
        <v>15862.769547375299</v>
      </c>
      <c r="G52" s="52">
        <f t="shared" si="114"/>
        <v>17528.658721939999</v>
      </c>
      <c r="H52" s="52">
        <f t="shared" si="114"/>
        <v>19380.25336585</v>
      </c>
      <c r="I52" s="52">
        <f t="shared" si="114"/>
        <v>23628.660976210002</v>
      </c>
      <c r="J52" s="52">
        <f t="shared" si="114"/>
        <v>25039.160485789998</v>
      </c>
      <c r="K52" s="52">
        <f t="shared" si="114"/>
        <v>25671.277050590001</v>
      </c>
      <c r="L52" s="52">
        <f t="shared" si="114"/>
        <v>22553.574591329998</v>
      </c>
      <c r="M52" s="52">
        <f t="shared" si="114"/>
        <v>24594.036874549998</v>
      </c>
      <c r="N52" s="52">
        <f t="shared" si="114"/>
        <v>27136.086991960001</v>
      </c>
      <c r="O52" s="52">
        <f t="shared" si="114"/>
        <v>25814.339788540005</v>
      </c>
      <c r="P52" s="52">
        <f t="shared" si="114"/>
        <v>25018.589162199998</v>
      </c>
      <c r="Q52" s="52">
        <f t="shared" si="114"/>
        <v>27041.234648810001</v>
      </c>
      <c r="R52" s="52">
        <f t="shared" ref="R52:S52" si="115">R53+R54+R58+R59</f>
        <v>27562.867788629999</v>
      </c>
      <c r="S52" s="52">
        <f t="shared" si="115"/>
        <v>30523.882787959999</v>
      </c>
      <c r="T52" s="52">
        <f t="shared" ref="T52" si="116">T53+T54+T58+T59</f>
        <v>33281.049960889999</v>
      </c>
      <c r="U52" s="52">
        <f t="shared" ref="U52" si="117">U53+U54+U58+U59</f>
        <v>42404.060503490007</v>
      </c>
      <c r="V52" s="52">
        <f t="shared" ref="V52" si="118">V53+V54+V58+V59</f>
        <v>42191.627683229999</v>
      </c>
      <c r="W52" s="52">
        <f t="shared" ref="W52" si="119">W53+W54+W58+W59</f>
        <v>43026.526180579996</v>
      </c>
      <c r="X52" s="52">
        <f t="shared" ref="X52" si="120">X53+X54+X58+X59</f>
        <v>44979.201093590003</v>
      </c>
      <c r="Y52" s="52">
        <f t="shared" ref="Y52" si="121">Y53+Y54+Y58+Y59</f>
        <v>44152.992987850004</v>
      </c>
      <c r="Z52" s="52">
        <f t="shared" ref="Z52" si="122">Z53+Z54+Z58+Z59</f>
        <v>45989.466887390008</v>
      </c>
      <c r="AA52" s="52">
        <f t="shared" ref="AA52" si="123">AA53+AA54+AA58+AA59</f>
        <v>45380.245501439989</v>
      </c>
      <c r="AB52" s="52">
        <f t="shared" ref="AB52:AC52" si="124">AB53+AB54+AB58+AB59</f>
        <v>45755.556190369985</v>
      </c>
      <c r="AC52" s="52">
        <f t="shared" si="124"/>
        <v>43662.871437480011</v>
      </c>
      <c r="AD52" s="52">
        <v>40375.758429870002</v>
      </c>
      <c r="AE52" s="52">
        <v>37240.85367995</v>
      </c>
    </row>
    <row r="53" spans="1:31" s="54" customFormat="1" x14ac:dyDescent="0.35">
      <c r="A53" s="57">
        <v>50</v>
      </c>
      <c r="B53" s="35"/>
      <c r="C53" s="35"/>
      <c r="D53" s="46" t="s">
        <v>10</v>
      </c>
      <c r="E53" s="46" t="s">
        <v>18</v>
      </c>
      <c r="F53" s="54">
        <v>0</v>
      </c>
      <c r="G53" s="54">
        <v>0</v>
      </c>
      <c r="H53" s="54">
        <v>0</v>
      </c>
      <c r="I53" s="54">
        <v>0</v>
      </c>
      <c r="J53" s="54">
        <v>0</v>
      </c>
      <c r="K53" s="54">
        <v>0</v>
      </c>
      <c r="L53" s="54">
        <v>0</v>
      </c>
      <c r="M53" s="54">
        <v>0</v>
      </c>
      <c r="N53" s="54">
        <v>0</v>
      </c>
      <c r="O53" s="54">
        <v>0</v>
      </c>
      <c r="P53" s="54">
        <v>0</v>
      </c>
      <c r="Q53" s="54">
        <v>0</v>
      </c>
      <c r="R53" s="54">
        <v>0</v>
      </c>
      <c r="S53" s="54">
        <v>0</v>
      </c>
      <c r="T53" s="54">
        <v>0</v>
      </c>
      <c r="U53" s="54">
        <v>0</v>
      </c>
      <c r="V53" s="54">
        <v>0</v>
      </c>
      <c r="W53" s="54">
        <v>0</v>
      </c>
      <c r="X53" s="54">
        <v>0</v>
      </c>
      <c r="Y53" s="54">
        <v>0</v>
      </c>
      <c r="Z53" s="54">
        <v>0</v>
      </c>
      <c r="AA53" s="54">
        <v>0</v>
      </c>
      <c r="AB53" s="54">
        <v>0</v>
      </c>
      <c r="AC53" s="54">
        <v>0</v>
      </c>
      <c r="AD53" s="54">
        <v>0</v>
      </c>
      <c r="AE53" s="54">
        <v>0</v>
      </c>
    </row>
    <row r="54" spans="1:31" s="54" customFormat="1" x14ac:dyDescent="0.35">
      <c r="A54" s="57">
        <v>51</v>
      </c>
      <c r="B54" s="35"/>
      <c r="C54" s="35"/>
      <c r="D54" s="46" t="s">
        <v>11</v>
      </c>
      <c r="E54" s="46" t="s">
        <v>0</v>
      </c>
      <c r="F54" s="54">
        <f t="shared" ref="F54:Q54" si="125">SUM(F55:F57)</f>
        <v>15862.769547375299</v>
      </c>
      <c r="G54" s="54">
        <f t="shared" si="125"/>
        <v>17528.658721939999</v>
      </c>
      <c r="H54" s="54">
        <f t="shared" si="125"/>
        <v>19380.25336585</v>
      </c>
      <c r="I54" s="54">
        <f t="shared" si="125"/>
        <v>23628.660976210002</v>
      </c>
      <c r="J54" s="54">
        <f t="shared" si="125"/>
        <v>25039.160485789998</v>
      </c>
      <c r="K54" s="54">
        <f t="shared" si="125"/>
        <v>25671.277050590001</v>
      </c>
      <c r="L54" s="54">
        <f t="shared" si="125"/>
        <v>22553.574591329998</v>
      </c>
      <c r="M54" s="54">
        <f t="shared" si="125"/>
        <v>24594.036874549998</v>
      </c>
      <c r="N54" s="54">
        <f t="shared" si="125"/>
        <v>27136.086991960001</v>
      </c>
      <c r="O54" s="54">
        <f t="shared" si="125"/>
        <v>25814.339788540005</v>
      </c>
      <c r="P54" s="54">
        <f t="shared" si="125"/>
        <v>25018.589162199998</v>
      </c>
      <c r="Q54" s="54">
        <f t="shared" si="125"/>
        <v>27041.234648810001</v>
      </c>
      <c r="R54" s="54">
        <f t="shared" ref="R54:S54" si="126">SUM(R55:R57)</f>
        <v>27562.867788629999</v>
      </c>
      <c r="S54" s="54">
        <f t="shared" si="126"/>
        <v>30523.882787959999</v>
      </c>
      <c r="T54" s="54">
        <f t="shared" ref="T54" si="127">SUM(T55:T57)</f>
        <v>33281.049960889999</v>
      </c>
      <c r="U54" s="54">
        <f t="shared" ref="U54" si="128">SUM(U55:U57)</f>
        <v>42404.060503490007</v>
      </c>
      <c r="V54" s="54">
        <f t="shared" ref="V54" si="129">SUM(V55:V57)</f>
        <v>42191.627683229999</v>
      </c>
      <c r="W54" s="54">
        <f t="shared" ref="W54" si="130">SUM(W55:W57)</f>
        <v>43026.526180579996</v>
      </c>
      <c r="X54" s="54">
        <f t="shared" ref="X54" si="131">SUM(X55:X57)</f>
        <v>44979.201093590003</v>
      </c>
      <c r="Y54" s="54">
        <f t="shared" ref="Y54" si="132">SUM(Y55:Y57)</f>
        <v>44152.992987850004</v>
      </c>
      <c r="Z54" s="54">
        <f t="shared" ref="Z54" si="133">SUM(Z55:Z57)</f>
        <v>45989.466887390008</v>
      </c>
      <c r="AA54" s="54">
        <f t="shared" ref="AA54" si="134">SUM(AA55:AA57)</f>
        <v>45380.245501439989</v>
      </c>
      <c r="AB54" s="54">
        <f t="shared" ref="AB54:AC54" si="135">SUM(AB55:AB57)</f>
        <v>45755.556190369985</v>
      </c>
      <c r="AC54" s="54">
        <f t="shared" si="135"/>
        <v>43662.871437480011</v>
      </c>
      <c r="AD54" s="54">
        <v>40375.758429870002</v>
      </c>
      <c r="AE54" s="54">
        <v>37240.85367995</v>
      </c>
    </row>
    <row r="55" spans="1:31" s="55" customFormat="1" x14ac:dyDescent="0.35">
      <c r="A55" s="57">
        <v>52</v>
      </c>
      <c r="B55" s="35"/>
      <c r="C55" s="35"/>
      <c r="D55" s="47" t="s">
        <v>21</v>
      </c>
      <c r="E55" s="47" t="s">
        <v>20</v>
      </c>
      <c r="F55" s="55">
        <v>15862.769547375299</v>
      </c>
      <c r="G55" s="55">
        <v>17528.658721939999</v>
      </c>
      <c r="H55" s="55">
        <v>19380.25336585</v>
      </c>
      <c r="I55" s="55">
        <v>23628.660976210002</v>
      </c>
      <c r="J55" s="55">
        <v>25039.160485789998</v>
      </c>
      <c r="K55" s="55">
        <v>25671.277050590001</v>
      </c>
      <c r="L55" s="55">
        <v>22553.574591329998</v>
      </c>
      <c r="M55" s="55">
        <v>24594.036874549998</v>
      </c>
      <c r="N55" s="55">
        <v>27136.086991960001</v>
      </c>
      <c r="O55" s="55">
        <v>25814.339788540005</v>
      </c>
      <c r="P55" s="55">
        <v>25018.589162199998</v>
      </c>
      <c r="Q55" s="55">
        <v>27041.234648810001</v>
      </c>
      <c r="R55" s="55">
        <v>27562.867788629999</v>
      </c>
      <c r="S55" s="55">
        <v>30523.882787959999</v>
      </c>
      <c r="T55" s="55">
        <v>33281.049960889999</v>
      </c>
      <c r="U55" s="55">
        <v>42404.060503490007</v>
      </c>
      <c r="V55" s="55">
        <v>42191.627683229999</v>
      </c>
      <c r="W55" s="55">
        <v>43026.526180579996</v>
      </c>
      <c r="X55" s="55">
        <v>44979.201093590003</v>
      </c>
      <c r="Y55" s="55">
        <v>44152.992987850004</v>
      </c>
      <c r="Z55" s="55">
        <v>45989.466887390008</v>
      </c>
      <c r="AA55" s="55">
        <v>45380.245501439989</v>
      </c>
      <c r="AB55" s="55">
        <v>45755.556190369985</v>
      </c>
      <c r="AC55" s="55">
        <v>43662.871437480011</v>
      </c>
      <c r="AD55" s="55">
        <v>40375.758429870002</v>
      </c>
      <c r="AE55" s="55">
        <v>37240.85367995</v>
      </c>
    </row>
    <row r="56" spans="1:31" s="55" customFormat="1" x14ac:dyDescent="0.35">
      <c r="A56" s="57">
        <v>53</v>
      </c>
      <c r="B56" s="35"/>
      <c r="C56" s="35"/>
      <c r="D56" s="47" t="s">
        <v>12</v>
      </c>
      <c r="E56" s="47" t="s">
        <v>22</v>
      </c>
      <c r="F56" s="55">
        <v>0</v>
      </c>
      <c r="G56" s="55">
        <v>0</v>
      </c>
      <c r="H56" s="55">
        <v>0</v>
      </c>
      <c r="I56" s="55">
        <v>0</v>
      </c>
      <c r="J56" s="55">
        <v>0</v>
      </c>
      <c r="K56" s="55">
        <v>0</v>
      </c>
      <c r="L56" s="55">
        <v>0</v>
      </c>
      <c r="M56" s="55">
        <v>0</v>
      </c>
      <c r="N56" s="55">
        <v>0</v>
      </c>
      <c r="O56" s="55">
        <v>0</v>
      </c>
      <c r="P56" s="55">
        <v>0</v>
      </c>
      <c r="Q56" s="55">
        <v>0</v>
      </c>
      <c r="R56" s="55">
        <v>0</v>
      </c>
      <c r="S56" s="55">
        <v>0</v>
      </c>
      <c r="T56" s="55">
        <v>0</v>
      </c>
      <c r="U56" s="55">
        <v>0</v>
      </c>
      <c r="V56" s="55">
        <v>0</v>
      </c>
      <c r="W56" s="55">
        <v>0</v>
      </c>
      <c r="X56" s="55">
        <v>0</v>
      </c>
      <c r="Y56" s="55">
        <v>0</v>
      </c>
      <c r="Z56" s="55">
        <v>0</v>
      </c>
      <c r="AA56" s="55">
        <v>0</v>
      </c>
      <c r="AB56" s="55">
        <v>0</v>
      </c>
      <c r="AC56" s="55">
        <v>0</v>
      </c>
      <c r="AD56" s="55">
        <v>0</v>
      </c>
      <c r="AE56" s="55">
        <v>0</v>
      </c>
    </row>
    <row r="57" spans="1:31" s="55" customFormat="1" x14ac:dyDescent="0.35">
      <c r="A57" s="57">
        <v>54</v>
      </c>
      <c r="B57" s="35"/>
      <c r="C57" s="35"/>
      <c r="D57" s="47" t="s">
        <v>13</v>
      </c>
      <c r="E57" s="47" t="s">
        <v>23</v>
      </c>
      <c r="F57" s="55">
        <v>0</v>
      </c>
      <c r="G57" s="55">
        <v>0</v>
      </c>
      <c r="H57" s="55">
        <v>0</v>
      </c>
      <c r="I57" s="55">
        <v>0</v>
      </c>
      <c r="J57" s="55">
        <v>0</v>
      </c>
      <c r="K57" s="55">
        <v>0</v>
      </c>
      <c r="L57" s="55">
        <v>0</v>
      </c>
      <c r="M57" s="55">
        <v>0</v>
      </c>
      <c r="N57" s="55">
        <v>0</v>
      </c>
      <c r="O57" s="55">
        <v>0</v>
      </c>
      <c r="P57" s="55">
        <v>0</v>
      </c>
      <c r="Q57" s="55">
        <v>0</v>
      </c>
      <c r="R57" s="55">
        <v>0</v>
      </c>
      <c r="S57" s="55">
        <v>0</v>
      </c>
      <c r="T57" s="55">
        <v>0</v>
      </c>
      <c r="U57" s="55">
        <v>0</v>
      </c>
      <c r="V57" s="55">
        <v>0</v>
      </c>
      <c r="W57" s="55">
        <v>0</v>
      </c>
      <c r="X57" s="55">
        <v>0</v>
      </c>
      <c r="Y57" s="55">
        <v>0</v>
      </c>
      <c r="Z57" s="55">
        <v>0</v>
      </c>
      <c r="AA57" s="55">
        <v>0</v>
      </c>
      <c r="AB57" s="55">
        <v>0</v>
      </c>
      <c r="AC57" s="55">
        <v>0</v>
      </c>
      <c r="AD57" s="55">
        <v>0</v>
      </c>
      <c r="AE57" s="55">
        <v>0</v>
      </c>
    </row>
    <row r="58" spans="1:31" s="55" customFormat="1" x14ac:dyDescent="0.35">
      <c r="A58" s="57">
        <v>55</v>
      </c>
      <c r="B58" s="35"/>
      <c r="C58" s="35"/>
      <c r="D58" s="46" t="s">
        <v>14</v>
      </c>
      <c r="E58" s="46" t="s">
        <v>24</v>
      </c>
      <c r="F58" s="55">
        <v>0</v>
      </c>
      <c r="G58" s="55">
        <v>0</v>
      </c>
      <c r="H58" s="55">
        <v>0</v>
      </c>
      <c r="I58" s="55">
        <v>0</v>
      </c>
      <c r="J58" s="55">
        <v>0</v>
      </c>
      <c r="K58" s="55">
        <v>0</v>
      </c>
      <c r="L58" s="55">
        <v>0</v>
      </c>
      <c r="M58" s="55">
        <v>0</v>
      </c>
      <c r="N58" s="55">
        <v>0</v>
      </c>
      <c r="O58" s="55">
        <v>0</v>
      </c>
      <c r="P58" s="55">
        <v>0</v>
      </c>
      <c r="Q58" s="55">
        <v>0</v>
      </c>
      <c r="R58" s="55">
        <v>0</v>
      </c>
      <c r="S58" s="55">
        <v>0</v>
      </c>
      <c r="T58" s="55">
        <v>0</v>
      </c>
      <c r="U58" s="55">
        <v>0</v>
      </c>
      <c r="V58" s="55">
        <v>0</v>
      </c>
      <c r="W58" s="55">
        <v>0</v>
      </c>
      <c r="X58" s="55">
        <v>0</v>
      </c>
      <c r="Y58" s="55">
        <v>0</v>
      </c>
      <c r="Z58" s="55">
        <v>0</v>
      </c>
      <c r="AA58" s="55">
        <v>0</v>
      </c>
      <c r="AB58" s="55">
        <v>0</v>
      </c>
      <c r="AC58" s="55">
        <v>0</v>
      </c>
      <c r="AD58" s="55">
        <v>0</v>
      </c>
      <c r="AE58" s="55">
        <v>0</v>
      </c>
    </row>
    <row r="59" spans="1:31" s="55" customFormat="1" x14ac:dyDescent="0.35">
      <c r="A59" s="57">
        <v>56</v>
      </c>
      <c r="B59" s="35"/>
      <c r="C59" s="35"/>
      <c r="D59" s="46" t="s">
        <v>25</v>
      </c>
      <c r="E59" s="46" t="s">
        <v>26</v>
      </c>
      <c r="F59" s="55">
        <v>0</v>
      </c>
      <c r="G59" s="55">
        <v>0</v>
      </c>
      <c r="H59" s="55">
        <v>0</v>
      </c>
      <c r="I59" s="55">
        <v>0</v>
      </c>
      <c r="J59" s="55">
        <v>0</v>
      </c>
      <c r="K59" s="55">
        <v>0</v>
      </c>
      <c r="L59" s="55">
        <v>0</v>
      </c>
      <c r="M59" s="55">
        <v>0</v>
      </c>
      <c r="N59" s="55">
        <v>0</v>
      </c>
      <c r="O59" s="55">
        <v>0</v>
      </c>
      <c r="P59" s="55">
        <v>0</v>
      </c>
      <c r="Q59" s="55">
        <v>0</v>
      </c>
      <c r="R59" s="55">
        <v>0</v>
      </c>
      <c r="S59" s="55">
        <v>0</v>
      </c>
      <c r="T59" s="55">
        <v>0</v>
      </c>
      <c r="U59" s="55">
        <v>0</v>
      </c>
      <c r="V59" s="55">
        <v>0</v>
      </c>
      <c r="W59" s="55">
        <v>0</v>
      </c>
      <c r="X59" s="55">
        <v>0</v>
      </c>
      <c r="Y59" s="55">
        <v>0</v>
      </c>
      <c r="Z59" s="55">
        <v>0</v>
      </c>
      <c r="AA59" s="55">
        <v>0</v>
      </c>
      <c r="AB59" s="55">
        <v>0</v>
      </c>
      <c r="AC59" s="55">
        <v>0</v>
      </c>
      <c r="AD59" s="55">
        <v>0</v>
      </c>
      <c r="AE59" s="55">
        <v>0</v>
      </c>
    </row>
    <row r="60" spans="1:31" s="52" customFormat="1" ht="15.5" x14ac:dyDescent="0.35">
      <c r="A60" s="57">
        <v>57</v>
      </c>
      <c r="B60" s="35"/>
      <c r="C60" s="35"/>
      <c r="D60" s="45" t="s">
        <v>15</v>
      </c>
      <c r="E60" s="45" t="s">
        <v>17</v>
      </c>
      <c r="F60" s="52">
        <v>24987.0064020559</v>
      </c>
      <c r="G60" s="52">
        <v>30036.698598499999</v>
      </c>
      <c r="H60" s="52">
        <v>36887.136167620003</v>
      </c>
      <c r="I60" s="52">
        <v>36152.758173400005</v>
      </c>
      <c r="J60" s="52">
        <v>35667.531138360006</v>
      </c>
      <c r="K60" s="52">
        <v>35865.180892979995</v>
      </c>
      <c r="L60" s="52">
        <v>40293.871913110001</v>
      </c>
      <c r="M60" s="52">
        <v>40081.878779110004</v>
      </c>
      <c r="N60" s="52">
        <v>43855.946977709995</v>
      </c>
      <c r="O60" s="52">
        <v>43094.030133760003</v>
      </c>
      <c r="P60" s="52">
        <v>45029.992718069996</v>
      </c>
      <c r="Q60" s="52">
        <v>46938.377033470002</v>
      </c>
      <c r="R60" s="52">
        <v>51487.134845699991</v>
      </c>
      <c r="S60" s="52">
        <v>43029.358012060002</v>
      </c>
      <c r="T60" s="52">
        <v>42212.420769389995</v>
      </c>
      <c r="U60" s="52">
        <v>50165.622609899998</v>
      </c>
      <c r="V60" s="52">
        <v>41383.396648440001</v>
      </c>
      <c r="W60" s="52">
        <v>33972.179570240005</v>
      </c>
      <c r="X60" s="52">
        <v>31902.5995162053</v>
      </c>
      <c r="Y60" s="52">
        <v>28219.510121896208</v>
      </c>
      <c r="Z60" s="52">
        <v>32403.937279263599</v>
      </c>
      <c r="AA60" s="52">
        <v>28227.638752321</v>
      </c>
      <c r="AB60" s="52">
        <v>28067.226284375</v>
      </c>
      <c r="AC60" s="52">
        <v>31977.106005266498</v>
      </c>
      <c r="AD60" s="52">
        <v>33582.468496511203</v>
      </c>
      <c r="AE60" s="52">
        <v>33720.252393490002</v>
      </c>
    </row>
    <row r="61" spans="1:31" s="51" customFormat="1" ht="9" customHeight="1" x14ac:dyDescent="0.35">
      <c r="A61" s="57">
        <v>58</v>
      </c>
      <c r="B61" s="35"/>
      <c r="C61" s="35"/>
      <c r="D61" s="49"/>
      <c r="E61" s="49"/>
      <c r="F61" s="51">
        <v>0</v>
      </c>
      <c r="G61" s="51">
        <v>0</v>
      </c>
      <c r="H61" s="51">
        <v>0</v>
      </c>
      <c r="I61" s="51">
        <v>0</v>
      </c>
      <c r="J61" s="51">
        <v>0</v>
      </c>
      <c r="K61" s="51">
        <v>0</v>
      </c>
      <c r="L61" s="51">
        <v>0</v>
      </c>
      <c r="M61" s="51">
        <v>0</v>
      </c>
      <c r="N61" s="51">
        <v>0</v>
      </c>
      <c r="O61" s="51">
        <v>0</v>
      </c>
      <c r="P61" s="51">
        <v>0</v>
      </c>
      <c r="Q61" s="51">
        <v>0</v>
      </c>
      <c r="R61" s="51">
        <v>0</v>
      </c>
      <c r="S61" s="51">
        <v>0</v>
      </c>
      <c r="T61" s="51">
        <v>0</v>
      </c>
      <c r="U61" s="51">
        <v>0</v>
      </c>
      <c r="V61" s="51">
        <v>0</v>
      </c>
      <c r="W61" s="51">
        <v>0</v>
      </c>
      <c r="X61" s="51">
        <v>0</v>
      </c>
      <c r="Y61" s="51">
        <v>0</v>
      </c>
      <c r="Z61" s="51">
        <v>0</v>
      </c>
      <c r="AA61" s="51">
        <v>0</v>
      </c>
      <c r="AB61" s="51">
        <v>0</v>
      </c>
      <c r="AC61" s="51">
        <v>0</v>
      </c>
      <c r="AD61" s="51">
        <v>0</v>
      </c>
      <c r="AE61" s="51">
        <v>0</v>
      </c>
    </row>
    <row r="62" spans="1:31" s="51" customFormat="1" ht="26.15" customHeight="1" x14ac:dyDescent="0.45">
      <c r="A62" s="57">
        <v>59</v>
      </c>
      <c r="B62" s="42"/>
      <c r="C62" s="44" t="s">
        <v>7</v>
      </c>
      <c r="D62" s="44"/>
      <c r="E62" s="35"/>
    </row>
    <row r="63" spans="1:31" s="52" customFormat="1" ht="18" customHeight="1" x14ac:dyDescent="0.35">
      <c r="A63" s="57">
        <v>60</v>
      </c>
      <c r="B63" s="35"/>
      <c r="C63" s="35"/>
      <c r="D63" s="45" t="s">
        <v>9</v>
      </c>
      <c r="E63" s="45" t="s">
        <v>30</v>
      </c>
      <c r="F63" s="52">
        <f t="shared" ref="F63:Q63" si="136">F64+F65+F69+F70</f>
        <v>7642.5137738599988</v>
      </c>
      <c r="G63" s="52">
        <f t="shared" si="136"/>
        <v>27447.342524879998</v>
      </c>
      <c r="H63" s="52">
        <f t="shared" si="136"/>
        <v>31730.430555700004</v>
      </c>
      <c r="I63" s="52">
        <f t="shared" si="136"/>
        <v>29289.767752440002</v>
      </c>
      <c r="J63" s="52">
        <f t="shared" si="136"/>
        <v>27993.082147330002</v>
      </c>
      <c r="K63" s="52">
        <f t="shared" si="136"/>
        <v>26725.328264920001</v>
      </c>
      <c r="L63" s="52">
        <f t="shared" si="136"/>
        <v>31031.504213259999</v>
      </c>
      <c r="M63" s="52">
        <f t="shared" si="136"/>
        <v>32649.897207899994</v>
      </c>
      <c r="N63" s="52">
        <f t="shared" si="136"/>
        <v>34369.927183870008</v>
      </c>
      <c r="O63" s="52">
        <f t="shared" si="136"/>
        <v>35673.110478800001</v>
      </c>
      <c r="P63" s="52">
        <f t="shared" si="136"/>
        <v>37136.52622575</v>
      </c>
      <c r="Q63" s="52">
        <f t="shared" si="136"/>
        <v>34946.892726670005</v>
      </c>
      <c r="R63" s="52">
        <f t="shared" ref="R63:S63" si="137">R64+R65+R69+R70</f>
        <v>35053.427858070005</v>
      </c>
      <c r="S63" s="52">
        <f t="shared" si="137"/>
        <v>31438.38907981</v>
      </c>
      <c r="T63" s="52">
        <f t="shared" ref="T63" si="138">T64+T65+T69+T70</f>
        <v>30770.928077690001</v>
      </c>
      <c r="U63" s="52">
        <f t="shared" ref="U63" si="139">U64+U65+U69+U70</f>
        <v>30397.700367570003</v>
      </c>
      <c r="V63" s="52">
        <f t="shared" ref="V63" si="140">V64+V65+V69+V70</f>
        <v>36599.267755250003</v>
      </c>
      <c r="W63" s="52">
        <f t="shared" ref="W63" si="141">W64+W65+W69+W70</f>
        <v>42545.11456124</v>
      </c>
      <c r="X63" s="52">
        <f t="shared" ref="X63" si="142">X64+X65+X69+X70</f>
        <v>44734.746189020007</v>
      </c>
      <c r="Y63" s="52">
        <f t="shared" ref="Y63" si="143">Y64+Y65+Y69+Y70</f>
        <v>43518.512196080002</v>
      </c>
      <c r="Z63" s="52">
        <f t="shared" ref="Z63" si="144">Z64+Z65+Z69+Z70</f>
        <v>46978.10403337</v>
      </c>
      <c r="AA63" s="52">
        <f t="shared" ref="AA63" si="145">AA64+AA65+AA69+AA70</f>
        <v>48990.276549073584</v>
      </c>
      <c r="AB63" s="52">
        <f t="shared" ref="AB63:AC63" si="146">AB64+AB65+AB69+AB70</f>
        <v>46100.246978189993</v>
      </c>
      <c r="AC63" s="52">
        <f t="shared" si="146"/>
        <v>47102.225035679614</v>
      </c>
      <c r="AD63" s="52">
        <v>48633.363486005765</v>
      </c>
      <c r="AE63" s="52">
        <v>47367.200431815734</v>
      </c>
    </row>
    <row r="64" spans="1:31" s="55" customFormat="1" x14ac:dyDescent="0.35">
      <c r="A64" s="57">
        <v>61</v>
      </c>
      <c r="B64" s="35"/>
      <c r="C64" s="35"/>
      <c r="D64" s="46" t="s">
        <v>10</v>
      </c>
      <c r="E64" s="46" t="s">
        <v>18</v>
      </c>
      <c r="F64" s="55">
        <v>0</v>
      </c>
      <c r="G64" s="55">
        <v>0</v>
      </c>
      <c r="H64" s="55">
        <v>41.393977</v>
      </c>
      <c r="I64" s="55">
        <v>42.911225999999999</v>
      </c>
      <c r="J64" s="55">
        <v>51.523911000000005</v>
      </c>
      <c r="K64" s="55">
        <v>46.381266000000004</v>
      </c>
      <c r="L64" s="55">
        <v>37.604002999999999</v>
      </c>
      <c r="M64" s="55">
        <v>23.702021999999999</v>
      </c>
      <c r="N64" s="55">
        <v>18.638332999999999</v>
      </c>
      <c r="O64" s="55">
        <v>13.822951999999999</v>
      </c>
      <c r="P64" s="55">
        <v>8.3758779999999984</v>
      </c>
      <c r="Q64" s="55">
        <v>30.639941</v>
      </c>
      <c r="R64" s="55">
        <v>26.316430999999998</v>
      </c>
      <c r="S64" s="55">
        <v>20.767665999999998</v>
      </c>
      <c r="T64" s="55">
        <v>18.350002</v>
      </c>
      <c r="U64" s="55">
        <v>18.063217999999999</v>
      </c>
      <c r="V64" s="55">
        <v>14.845611999999999</v>
      </c>
      <c r="W64" s="55">
        <v>11.803726999999999</v>
      </c>
      <c r="X64" s="55">
        <v>9.2794568399999999</v>
      </c>
      <c r="Y64" s="55">
        <v>6.7918532699999998</v>
      </c>
      <c r="Z64" s="55">
        <v>4.1860906400000006</v>
      </c>
      <c r="AA64" s="55">
        <v>1.8860719100000001</v>
      </c>
      <c r="AB64" s="55">
        <v>1.34E-4</v>
      </c>
      <c r="AC64" s="55">
        <v>1.34E-4</v>
      </c>
      <c r="AD64" s="55">
        <v>4.2811339999999998</v>
      </c>
      <c r="AE64" s="55">
        <v>4.2811339999999998</v>
      </c>
    </row>
    <row r="65" spans="1:31" s="54" customFormat="1" x14ac:dyDescent="0.35">
      <c r="A65" s="57">
        <v>62</v>
      </c>
      <c r="B65" s="35"/>
      <c r="C65" s="35"/>
      <c r="D65" s="46" t="s">
        <v>11</v>
      </c>
      <c r="E65" s="46" t="s">
        <v>0</v>
      </c>
      <c r="F65" s="54">
        <f t="shared" ref="F65:Q65" si="147">SUM(F66:F68)</f>
        <v>614.44510571000001</v>
      </c>
      <c r="G65" s="54">
        <f t="shared" si="147"/>
        <v>5915.3516043500003</v>
      </c>
      <c r="H65" s="54">
        <f t="shared" si="147"/>
        <v>9217.4314691199997</v>
      </c>
      <c r="I65" s="54">
        <f t="shared" si="147"/>
        <v>6298.7206888200008</v>
      </c>
      <c r="J65" s="54">
        <f t="shared" si="147"/>
        <v>5402.9735921000001</v>
      </c>
      <c r="K65" s="54">
        <f t="shared" si="147"/>
        <v>3373.4703486999997</v>
      </c>
      <c r="L65" s="54">
        <f t="shared" si="147"/>
        <v>5467.8659062599991</v>
      </c>
      <c r="M65" s="54">
        <f t="shared" si="147"/>
        <v>5463.8205637699994</v>
      </c>
      <c r="N65" s="54">
        <f t="shared" si="147"/>
        <v>6383.3075630800004</v>
      </c>
      <c r="O65" s="54">
        <f t="shared" si="147"/>
        <v>5379.0185826600009</v>
      </c>
      <c r="P65" s="54">
        <f t="shared" si="147"/>
        <v>4419.3225523099991</v>
      </c>
      <c r="Q65" s="54">
        <f t="shared" si="147"/>
        <v>3584.38457733</v>
      </c>
      <c r="R65" s="54">
        <f t="shared" ref="R65:S65" si="148">SUM(R66:R68)</f>
        <v>3703.8270586899998</v>
      </c>
      <c r="S65" s="54">
        <f t="shared" si="148"/>
        <v>1258.6147557699999</v>
      </c>
      <c r="T65" s="54">
        <f t="shared" ref="T65" si="149">SUM(T66:T68)</f>
        <v>1706.4006995299999</v>
      </c>
      <c r="U65" s="54">
        <f t="shared" ref="U65" si="150">SUM(U66:U68)</f>
        <v>1060.50469492</v>
      </c>
      <c r="V65" s="54">
        <f t="shared" ref="V65" si="151">SUM(V66:V68)</f>
        <v>6616.8460480399999</v>
      </c>
      <c r="W65" s="54">
        <f t="shared" ref="W65" si="152">SUM(W66:W68)</f>
        <v>11599.622110079999</v>
      </c>
      <c r="X65" s="54">
        <f t="shared" ref="X65" si="153">SUM(X66:X68)</f>
        <v>11705.752338190001</v>
      </c>
      <c r="Y65" s="54">
        <f t="shared" ref="Y65" si="154">SUM(Y66:Y68)</f>
        <v>7160.1985586199999</v>
      </c>
      <c r="Z65" s="54">
        <f t="shared" ref="Z65" si="155">SUM(Z66:Z68)</f>
        <v>11179.999272659999</v>
      </c>
      <c r="AA65" s="54">
        <f t="shared" ref="AA65" si="156">SUM(AA66:AA68)</f>
        <v>10923.607609030001</v>
      </c>
      <c r="AB65" s="54">
        <f t="shared" ref="AB65:AC65" si="157">SUM(AB66:AB68)</f>
        <v>6533.4874036800002</v>
      </c>
      <c r="AC65" s="54">
        <f t="shared" si="157"/>
        <v>9131.900991970002</v>
      </c>
      <c r="AD65" s="54">
        <v>9767.6056998200002</v>
      </c>
      <c r="AE65" s="54">
        <v>6823.4345765299995</v>
      </c>
    </row>
    <row r="66" spans="1:31" s="55" customFormat="1" x14ac:dyDescent="0.35">
      <c r="A66" s="57">
        <v>63</v>
      </c>
      <c r="B66" s="35"/>
      <c r="C66" s="35"/>
      <c r="D66" s="47" t="s">
        <v>21</v>
      </c>
      <c r="E66" s="47" t="s">
        <v>20</v>
      </c>
      <c r="F66" s="55">
        <v>614.44510571000001</v>
      </c>
      <c r="G66" s="55">
        <v>5915.3516043500003</v>
      </c>
      <c r="H66" s="55">
        <v>9217.4314691199997</v>
      </c>
      <c r="I66" s="55">
        <v>6298.7206888200008</v>
      </c>
      <c r="J66" s="55">
        <v>5402.9735891</v>
      </c>
      <c r="K66" s="55">
        <v>3373.4703486999997</v>
      </c>
      <c r="L66" s="55">
        <v>5467.8659062599991</v>
      </c>
      <c r="M66" s="55">
        <v>5463.8205637699994</v>
      </c>
      <c r="N66" s="55">
        <v>6383.3075630800004</v>
      </c>
      <c r="O66" s="55">
        <v>5379.0185826600009</v>
      </c>
      <c r="P66" s="55">
        <v>4419.3225523099991</v>
      </c>
      <c r="Q66" s="55">
        <v>3584.38457733</v>
      </c>
      <c r="R66" s="55">
        <v>3703.8270586899998</v>
      </c>
      <c r="S66" s="55">
        <v>1258.6147557699999</v>
      </c>
      <c r="T66" s="55">
        <v>1706.4006995299999</v>
      </c>
      <c r="U66" s="55">
        <v>1060.50469492</v>
      </c>
      <c r="V66" s="55">
        <v>6616.8460480399999</v>
      </c>
      <c r="W66" s="55">
        <v>11599.622110079999</v>
      </c>
      <c r="X66" s="55">
        <v>11705.752338190001</v>
      </c>
      <c r="Y66" s="55">
        <v>7160.1985586199999</v>
      </c>
      <c r="Z66" s="55">
        <v>11179.999272659999</v>
      </c>
      <c r="AA66" s="55">
        <v>10923.607609030001</v>
      </c>
      <c r="AB66" s="55">
        <v>6533.4874036800002</v>
      </c>
      <c r="AC66" s="55">
        <v>9131.900991970002</v>
      </c>
      <c r="AD66" s="55">
        <v>9767.6056998200002</v>
      </c>
      <c r="AE66" s="55">
        <v>6823.4345765299995</v>
      </c>
    </row>
    <row r="67" spans="1:31" s="55" customFormat="1" x14ac:dyDescent="0.35">
      <c r="A67" s="57">
        <v>64</v>
      </c>
      <c r="B67" s="35"/>
      <c r="C67" s="35"/>
      <c r="D67" s="47" t="s">
        <v>12</v>
      </c>
      <c r="E67" s="47" t="s">
        <v>22</v>
      </c>
      <c r="F67" s="55">
        <v>0</v>
      </c>
      <c r="G67" s="55">
        <v>0</v>
      </c>
      <c r="H67" s="55">
        <v>0</v>
      </c>
      <c r="I67" s="55">
        <v>0</v>
      </c>
      <c r="J67" s="55">
        <v>3.0000000000000005E-6</v>
      </c>
      <c r="K67" s="55">
        <v>0</v>
      </c>
      <c r="L67" s="55">
        <v>0</v>
      </c>
      <c r="M67" s="55">
        <v>0</v>
      </c>
      <c r="N67" s="55">
        <v>0</v>
      </c>
      <c r="O67" s="55">
        <v>0</v>
      </c>
      <c r="P67" s="55">
        <v>0</v>
      </c>
      <c r="Q67" s="55">
        <v>0</v>
      </c>
      <c r="R67" s="55">
        <v>0</v>
      </c>
      <c r="S67" s="55">
        <v>0</v>
      </c>
      <c r="T67" s="55">
        <v>0</v>
      </c>
      <c r="U67" s="55">
        <v>0</v>
      </c>
      <c r="V67" s="55">
        <v>0</v>
      </c>
      <c r="W67" s="55">
        <v>0</v>
      </c>
      <c r="X67" s="55">
        <v>0</v>
      </c>
      <c r="Y67" s="55">
        <v>0</v>
      </c>
      <c r="Z67" s="55">
        <v>0</v>
      </c>
      <c r="AA67" s="55">
        <v>0</v>
      </c>
      <c r="AB67" s="55">
        <v>0</v>
      </c>
      <c r="AC67" s="55">
        <v>0</v>
      </c>
      <c r="AD67" s="55">
        <v>0</v>
      </c>
      <c r="AE67" s="55">
        <v>0</v>
      </c>
    </row>
    <row r="68" spans="1:31" s="55" customFormat="1" x14ac:dyDescent="0.35">
      <c r="A68" s="57">
        <v>65</v>
      </c>
      <c r="B68" s="35"/>
      <c r="C68" s="35"/>
      <c r="D68" s="47" t="s">
        <v>13</v>
      </c>
      <c r="E68" s="47" t="s">
        <v>23</v>
      </c>
      <c r="F68" s="55">
        <v>0</v>
      </c>
      <c r="G68" s="55">
        <v>0</v>
      </c>
      <c r="H68" s="55">
        <v>0</v>
      </c>
      <c r="I68" s="55">
        <v>0</v>
      </c>
      <c r="J68" s="55">
        <v>0</v>
      </c>
      <c r="K68" s="55">
        <v>0</v>
      </c>
      <c r="L68" s="55">
        <v>0</v>
      </c>
      <c r="M68" s="55">
        <v>0</v>
      </c>
      <c r="N68" s="55">
        <v>0</v>
      </c>
      <c r="O68" s="55">
        <v>0</v>
      </c>
      <c r="P68" s="55">
        <v>0</v>
      </c>
      <c r="Q68" s="55">
        <v>0</v>
      </c>
      <c r="R68" s="55">
        <v>0</v>
      </c>
      <c r="S68" s="55">
        <v>0</v>
      </c>
      <c r="T68" s="55">
        <v>0</v>
      </c>
      <c r="U68" s="55">
        <v>0</v>
      </c>
      <c r="V68" s="55">
        <v>0</v>
      </c>
      <c r="W68" s="55">
        <v>0</v>
      </c>
      <c r="X68" s="55">
        <v>0</v>
      </c>
      <c r="Y68" s="55">
        <v>0</v>
      </c>
      <c r="Z68" s="55">
        <v>0</v>
      </c>
      <c r="AA68" s="55">
        <v>0</v>
      </c>
      <c r="AB68" s="55">
        <v>0</v>
      </c>
      <c r="AC68" s="55">
        <v>0</v>
      </c>
      <c r="AD68" s="55">
        <v>0</v>
      </c>
      <c r="AE68" s="55">
        <v>0</v>
      </c>
    </row>
    <row r="69" spans="1:31" s="54" customFormat="1" x14ac:dyDescent="0.35">
      <c r="A69" s="57">
        <v>66</v>
      </c>
      <c r="B69" s="35"/>
      <c r="C69" s="35"/>
      <c r="D69" s="46" t="s">
        <v>1</v>
      </c>
      <c r="E69" s="46" t="s">
        <v>24</v>
      </c>
      <c r="F69" s="54">
        <v>7028.0686681499992</v>
      </c>
      <c r="G69" s="54">
        <v>21531.990920529999</v>
      </c>
      <c r="H69" s="54">
        <v>22471.605109580003</v>
      </c>
      <c r="I69" s="54">
        <v>22948.135837620001</v>
      </c>
      <c r="J69" s="54">
        <v>22538.584644230003</v>
      </c>
      <c r="K69" s="54">
        <v>23305.47665022</v>
      </c>
      <c r="L69" s="54">
        <v>25526.034304000001</v>
      </c>
      <c r="M69" s="54">
        <v>27162.374622129995</v>
      </c>
      <c r="N69" s="54">
        <v>27967.981287790004</v>
      </c>
      <c r="O69" s="54">
        <v>30280.26894414</v>
      </c>
      <c r="P69" s="54">
        <v>32708.82779544</v>
      </c>
      <c r="Q69" s="54">
        <v>31331.868208340002</v>
      </c>
      <c r="R69" s="54">
        <v>31323.284368380002</v>
      </c>
      <c r="S69" s="54">
        <v>30159.006658040002</v>
      </c>
      <c r="T69" s="54">
        <v>29046.177376160002</v>
      </c>
      <c r="U69" s="54">
        <v>29319.132454650004</v>
      </c>
      <c r="V69" s="54">
        <v>29967.576095210003</v>
      </c>
      <c r="W69" s="54">
        <v>30933.688724159998</v>
      </c>
      <c r="X69" s="54">
        <v>33019.714393990005</v>
      </c>
      <c r="Y69" s="54">
        <v>36351.521784190001</v>
      </c>
      <c r="Z69" s="54">
        <v>35793.918670070001</v>
      </c>
      <c r="AA69" s="54">
        <v>38064.782868133581</v>
      </c>
      <c r="AB69" s="54">
        <v>39566.759440509995</v>
      </c>
      <c r="AC69" s="54">
        <v>37970.323909709608</v>
      </c>
      <c r="AD69" s="54">
        <v>38861.476652185767</v>
      </c>
      <c r="AE69" s="54">
        <v>40539.484721285735</v>
      </c>
    </row>
    <row r="70" spans="1:31" s="54" customFormat="1" x14ac:dyDescent="0.35">
      <c r="A70" s="57">
        <v>67</v>
      </c>
      <c r="B70" s="35"/>
      <c r="C70" s="35"/>
      <c r="D70" s="46" t="s">
        <v>25</v>
      </c>
      <c r="E70" s="46" t="s">
        <v>26</v>
      </c>
      <c r="F70" s="54">
        <v>0</v>
      </c>
      <c r="G70" s="54">
        <v>0</v>
      </c>
      <c r="H70" s="54">
        <v>0</v>
      </c>
      <c r="I70" s="54">
        <v>0</v>
      </c>
      <c r="J70" s="54">
        <v>0</v>
      </c>
      <c r="K70" s="54">
        <v>0</v>
      </c>
      <c r="L70" s="54">
        <v>0</v>
      </c>
      <c r="M70" s="54">
        <v>0</v>
      </c>
      <c r="N70" s="54">
        <v>0</v>
      </c>
      <c r="O70" s="54">
        <v>0</v>
      </c>
      <c r="P70" s="54">
        <v>0</v>
      </c>
      <c r="Q70" s="54">
        <v>0</v>
      </c>
      <c r="R70" s="54">
        <v>0</v>
      </c>
      <c r="S70" s="54">
        <v>0</v>
      </c>
      <c r="T70" s="54">
        <v>0</v>
      </c>
      <c r="U70" s="54">
        <v>0</v>
      </c>
      <c r="V70" s="54">
        <v>0</v>
      </c>
      <c r="W70" s="54">
        <v>0</v>
      </c>
      <c r="X70" s="54">
        <v>0</v>
      </c>
      <c r="Y70" s="54">
        <v>0</v>
      </c>
      <c r="Z70" s="54">
        <v>0</v>
      </c>
      <c r="AA70" s="54">
        <v>0</v>
      </c>
      <c r="AB70" s="54">
        <v>0</v>
      </c>
      <c r="AC70" s="54">
        <v>0</v>
      </c>
      <c r="AD70" s="54">
        <v>0</v>
      </c>
      <c r="AE70" s="54">
        <v>0</v>
      </c>
    </row>
    <row r="71" spans="1:31" s="52" customFormat="1" ht="15.5" x14ac:dyDescent="0.35">
      <c r="A71" s="57">
        <v>68</v>
      </c>
      <c r="B71" s="35"/>
      <c r="C71" s="35"/>
      <c r="D71" s="45" t="s">
        <v>15</v>
      </c>
      <c r="E71" s="45" t="s">
        <v>17</v>
      </c>
      <c r="F71" s="52">
        <v>19448.952904000002</v>
      </c>
      <c r="G71" s="52">
        <v>23918.563555569999</v>
      </c>
      <c r="H71" s="52">
        <v>22917.314072999998</v>
      </c>
      <c r="I71" s="52">
        <v>26614.792761910001</v>
      </c>
      <c r="J71" s="52">
        <v>29220.23563879</v>
      </c>
      <c r="K71" s="52">
        <v>31039.053530669993</v>
      </c>
      <c r="L71" s="52">
        <v>29484.675687390001</v>
      </c>
      <c r="M71" s="52">
        <v>30677.262092109999</v>
      </c>
      <c r="N71" s="52">
        <v>33150.162280419994</v>
      </c>
      <c r="O71" s="52">
        <v>35320.866999419995</v>
      </c>
      <c r="P71" s="52">
        <v>35311.433731340003</v>
      </c>
      <c r="Q71" s="52">
        <v>32991.976455469994</v>
      </c>
      <c r="R71" s="52">
        <v>32862.839745409998</v>
      </c>
      <c r="S71" s="52">
        <v>34044.890764359996</v>
      </c>
      <c r="T71" s="52">
        <v>39235.02167485001</v>
      </c>
      <c r="U71" s="52">
        <v>40318.174166730001</v>
      </c>
      <c r="V71" s="52">
        <v>51846.945110109998</v>
      </c>
      <c r="W71" s="52">
        <v>60275.385332380007</v>
      </c>
      <c r="X71" s="52">
        <v>66375.66793144001</v>
      </c>
      <c r="Y71" s="52">
        <v>70891.707826019992</v>
      </c>
      <c r="Z71" s="52">
        <v>75145.321589839994</v>
      </c>
      <c r="AA71" s="52">
        <v>80940.278156079963</v>
      </c>
      <c r="AB71" s="52">
        <v>81609.003587160012</v>
      </c>
      <c r="AC71" s="52">
        <v>82961.052445319991</v>
      </c>
      <c r="AD71" s="52">
        <v>86014.853665290007</v>
      </c>
      <c r="AE71" s="52">
        <v>82520.985461989985</v>
      </c>
    </row>
    <row r="72" spans="1:31" s="51" customFormat="1" ht="17.25" customHeight="1" x14ac:dyDescent="0.35">
      <c r="A72" s="57">
        <v>69</v>
      </c>
      <c r="B72" s="35"/>
      <c r="C72" s="35"/>
      <c r="D72" s="49"/>
      <c r="E72" s="49"/>
      <c r="F72" s="51">
        <v>0</v>
      </c>
      <c r="G72" s="51">
        <v>0</v>
      </c>
      <c r="H72" s="51">
        <v>0</v>
      </c>
      <c r="I72" s="51">
        <v>0</v>
      </c>
      <c r="J72" s="51">
        <v>0</v>
      </c>
      <c r="K72" s="51">
        <v>0</v>
      </c>
      <c r="L72" s="51">
        <v>0</v>
      </c>
      <c r="M72" s="51">
        <v>0</v>
      </c>
      <c r="N72" s="51">
        <v>0</v>
      </c>
      <c r="O72" s="51">
        <v>0</v>
      </c>
      <c r="P72" s="51">
        <v>0</v>
      </c>
      <c r="Q72" s="51">
        <v>0</v>
      </c>
      <c r="R72" s="51">
        <v>0</v>
      </c>
      <c r="S72" s="51">
        <v>0</v>
      </c>
      <c r="T72" s="51">
        <v>0</v>
      </c>
      <c r="U72" s="51">
        <v>0</v>
      </c>
      <c r="V72" s="51">
        <v>0</v>
      </c>
      <c r="W72" s="51">
        <v>0</v>
      </c>
      <c r="X72" s="51">
        <v>0</v>
      </c>
      <c r="Y72" s="51">
        <v>0</v>
      </c>
      <c r="Z72" s="51">
        <v>0</v>
      </c>
      <c r="AA72" s="51">
        <v>0</v>
      </c>
      <c r="AB72" s="51">
        <v>0</v>
      </c>
      <c r="AC72" s="51">
        <v>0</v>
      </c>
      <c r="AD72" s="51">
        <v>0</v>
      </c>
      <c r="AE72" s="51">
        <v>0</v>
      </c>
    </row>
    <row r="73" spans="1:31" s="51" customFormat="1" ht="26.15" customHeight="1" x14ac:dyDescent="0.45">
      <c r="A73" s="57">
        <v>70</v>
      </c>
      <c r="B73" s="42"/>
      <c r="C73" s="44" t="s">
        <v>2</v>
      </c>
      <c r="D73" s="44"/>
      <c r="E73" s="35"/>
    </row>
    <row r="74" spans="1:31" s="52" customFormat="1" ht="18" customHeight="1" x14ac:dyDescent="0.35">
      <c r="A74" s="57">
        <v>71</v>
      </c>
      <c r="B74" s="35"/>
      <c r="C74" s="35"/>
      <c r="D74" s="45" t="s">
        <v>9</v>
      </c>
      <c r="E74" s="45" t="s">
        <v>30</v>
      </c>
      <c r="F74" s="52">
        <f t="shared" ref="F74:Q74" si="158">F75+F76+F80+F81</f>
        <v>59116.295333977803</v>
      </c>
      <c r="G74" s="52">
        <f t="shared" si="158"/>
        <v>43136.984624228702</v>
      </c>
      <c r="H74" s="52">
        <f t="shared" si="158"/>
        <v>42352.982967990007</v>
      </c>
      <c r="I74" s="52">
        <f t="shared" si="158"/>
        <v>46442.570884980007</v>
      </c>
      <c r="J74" s="52">
        <f t="shared" si="158"/>
        <v>54061.404684419991</v>
      </c>
      <c r="K74" s="52">
        <f t="shared" si="158"/>
        <v>55904.54544188</v>
      </c>
      <c r="L74" s="52">
        <f t="shared" si="158"/>
        <v>54924.037465329995</v>
      </c>
      <c r="M74" s="52">
        <f t="shared" si="158"/>
        <v>57152.479270070013</v>
      </c>
      <c r="N74" s="52">
        <f t="shared" si="158"/>
        <v>59379.828631239994</v>
      </c>
      <c r="O74" s="52">
        <f t="shared" si="158"/>
        <v>60642.941417139999</v>
      </c>
      <c r="P74" s="52">
        <f t="shared" si="158"/>
        <v>64596.907614429998</v>
      </c>
      <c r="Q74" s="52">
        <f t="shared" si="158"/>
        <v>68504.420733170002</v>
      </c>
      <c r="R74" s="52">
        <f t="shared" ref="R74:S74" si="159">R75+R76+R80+R81</f>
        <v>71857.136487389987</v>
      </c>
      <c r="S74" s="52">
        <f t="shared" si="159"/>
        <v>77844.999213360017</v>
      </c>
      <c r="T74" s="52">
        <f t="shared" ref="T74" si="160">T75+T76+T80+T81</f>
        <v>79628.686514289991</v>
      </c>
      <c r="U74" s="52">
        <f t="shared" ref="U74" si="161">U75+U76+U80+U81</f>
        <v>80074.891100280016</v>
      </c>
      <c r="V74" s="52">
        <f t="shared" ref="V74" si="162">V75+V76+V80+V81</f>
        <v>78859.617509110016</v>
      </c>
      <c r="W74" s="52">
        <f t="shared" ref="W74" si="163">W75+W76+W80+W81</f>
        <v>78652.332237680006</v>
      </c>
      <c r="X74" s="52">
        <f t="shared" ref="X74" si="164">X75+X76+X80+X81</f>
        <v>80106.132262432599</v>
      </c>
      <c r="Y74" s="52">
        <f t="shared" ref="Y74" si="165">Y75+Y76+Y80+Y81</f>
        <v>80440.220846526499</v>
      </c>
      <c r="Z74" s="52">
        <f t="shared" ref="Z74" si="166">Z75+Z76+Z80+Z81</f>
        <v>81729.655496684485</v>
      </c>
      <c r="AA74" s="52">
        <f t="shared" ref="AA74" si="167">AA75+AA76+AA80+AA81</f>
        <v>82860.021576532716</v>
      </c>
      <c r="AB74" s="52">
        <f t="shared" ref="AB74:AC74" si="168">AB75+AB76+AB80+AB81</f>
        <v>87949.636521198583</v>
      </c>
      <c r="AC74" s="52">
        <f t="shared" si="168"/>
        <v>93271.312224542999</v>
      </c>
      <c r="AD74" s="52">
        <v>100307.46222570812</v>
      </c>
      <c r="AE74" s="52">
        <v>106163.71891674201</v>
      </c>
    </row>
    <row r="75" spans="1:31" s="54" customFormat="1" x14ac:dyDescent="0.35">
      <c r="A75" s="57">
        <v>72</v>
      </c>
      <c r="B75" s="35"/>
      <c r="C75" s="35"/>
      <c r="D75" s="46" t="s">
        <v>10</v>
      </c>
      <c r="E75" s="46" t="s">
        <v>18</v>
      </c>
      <c r="F75" s="54">
        <v>33854.552833964866</v>
      </c>
      <c r="G75" s="54">
        <v>30601.813300674003</v>
      </c>
      <c r="H75" s="54">
        <v>27817.271914390429</v>
      </c>
      <c r="I75" s="54">
        <v>27703.767491716855</v>
      </c>
      <c r="J75" s="54">
        <v>28667.148301949066</v>
      </c>
      <c r="K75" s="54">
        <v>29572.396667479974</v>
      </c>
      <c r="L75" s="54">
        <v>28828.491889981826</v>
      </c>
      <c r="M75" s="54">
        <v>29852.841272523863</v>
      </c>
      <c r="N75" s="54">
        <v>31362.52579446906</v>
      </c>
      <c r="O75" s="54">
        <v>31441.885335468123</v>
      </c>
      <c r="P75" s="54">
        <v>32456.769706198702</v>
      </c>
      <c r="Q75" s="54">
        <v>33333.434831879473</v>
      </c>
      <c r="R75" s="54">
        <v>34593.661403149119</v>
      </c>
      <c r="S75" s="54">
        <v>34904.821818548473</v>
      </c>
      <c r="T75" s="54">
        <v>36366.461426192946</v>
      </c>
      <c r="U75" s="54">
        <v>36382.360910937845</v>
      </c>
      <c r="V75" s="54">
        <v>38793.932220749637</v>
      </c>
      <c r="W75" s="54">
        <v>38718.976971451179</v>
      </c>
      <c r="X75" s="54">
        <v>39512.079586193977</v>
      </c>
      <c r="Y75" s="54">
        <v>38866.54689047212</v>
      </c>
      <c r="Z75" s="54">
        <v>39591.19779873018</v>
      </c>
      <c r="AA75" s="54">
        <v>40110.120661727422</v>
      </c>
      <c r="AB75" s="54">
        <v>42747.684270051126</v>
      </c>
      <c r="AC75" s="54">
        <v>44231.162968390476</v>
      </c>
      <c r="AD75" s="54">
        <v>47305.513962585937</v>
      </c>
      <c r="AE75" s="54">
        <v>50171.942627074211</v>
      </c>
    </row>
    <row r="76" spans="1:31" s="54" customFormat="1" x14ac:dyDescent="0.35">
      <c r="A76" s="57">
        <v>73</v>
      </c>
      <c r="B76" s="35"/>
      <c r="C76" s="35"/>
      <c r="D76" s="46" t="s">
        <v>11</v>
      </c>
      <c r="E76" s="46" t="s">
        <v>0</v>
      </c>
      <c r="F76" s="54">
        <f t="shared" ref="F76:Q76" si="169">SUM(F77:F79)</f>
        <v>15580.209415082909</v>
      </c>
      <c r="G76" s="54">
        <f t="shared" si="169"/>
        <v>1519.6724389954998</v>
      </c>
      <c r="H76" s="54">
        <f t="shared" si="169"/>
        <v>1348.0777110000001</v>
      </c>
      <c r="I76" s="54">
        <f t="shared" si="169"/>
        <v>1412.7416699999999</v>
      </c>
      <c r="J76" s="54">
        <f t="shared" si="169"/>
        <v>1577.7553820000001</v>
      </c>
      <c r="K76" s="54">
        <f t="shared" si="169"/>
        <v>1535.9696019999999</v>
      </c>
      <c r="L76" s="54">
        <f t="shared" si="169"/>
        <v>1316.5278489999998</v>
      </c>
      <c r="M76" s="54">
        <f t="shared" si="169"/>
        <v>1256.591817</v>
      </c>
      <c r="N76" s="54">
        <f t="shared" si="169"/>
        <v>1285.286998</v>
      </c>
      <c r="O76" s="54">
        <f t="shared" si="169"/>
        <v>1262.9638259999999</v>
      </c>
      <c r="P76" s="54">
        <f t="shared" si="169"/>
        <v>1520.7358210000002</v>
      </c>
      <c r="Q76" s="54">
        <f t="shared" si="169"/>
        <v>1675.3509859999999</v>
      </c>
      <c r="R76" s="54">
        <f t="shared" ref="R76:S76" si="170">SUM(R77:R79)</f>
        <v>1829.0945590000001</v>
      </c>
      <c r="S76" s="54">
        <f t="shared" si="170"/>
        <v>6183.3878298600002</v>
      </c>
      <c r="T76" s="54">
        <f t="shared" ref="T76" si="171">SUM(T77:T79)</f>
        <v>4996.452650629999</v>
      </c>
      <c r="U76" s="54">
        <f t="shared" ref="U76" si="172">SUM(U77:U79)</f>
        <v>5262.2208686500007</v>
      </c>
      <c r="V76" s="54">
        <f t="shared" ref="V76" si="173">SUM(V77:V79)</f>
        <v>2494.2074889999999</v>
      </c>
      <c r="W76" s="54">
        <f t="shared" ref="W76" si="174">SUM(W77:W79)</f>
        <v>2628.310786</v>
      </c>
      <c r="X76" s="54">
        <f t="shared" ref="X76" si="175">SUM(X77:X79)</f>
        <v>2704.14329077</v>
      </c>
      <c r="Y76" s="54">
        <f t="shared" ref="Y76" si="176">SUM(Y77:Y79)</f>
        <v>2638.3218655599999</v>
      </c>
      <c r="Z76" s="54">
        <f t="shared" ref="Z76" si="177">SUM(Z77:Z79)</f>
        <v>2774.1743347399997</v>
      </c>
      <c r="AA76" s="54">
        <f t="shared" ref="AA76" si="178">SUM(AA77:AA79)</f>
        <v>2578.3292968299997</v>
      </c>
      <c r="AB76" s="54">
        <f t="shared" ref="AB76:AC76" si="179">SUM(AB77:AB79)</f>
        <v>2797.2438487099998</v>
      </c>
      <c r="AC76" s="54">
        <f t="shared" si="179"/>
        <v>3284.5394510900001</v>
      </c>
      <c r="AD76" s="54">
        <v>3640.4486329800002</v>
      </c>
      <c r="AE76" s="54">
        <v>3587.8363522300001</v>
      </c>
    </row>
    <row r="77" spans="1:31" s="55" customFormat="1" x14ac:dyDescent="0.35">
      <c r="A77" s="57">
        <v>74</v>
      </c>
      <c r="B77" s="35"/>
      <c r="C77" s="35"/>
      <c r="D77" s="47" t="s">
        <v>21</v>
      </c>
      <c r="E77" s="47" t="s">
        <v>20</v>
      </c>
      <c r="F77" s="55">
        <v>14056.662814260009</v>
      </c>
      <c r="G77" s="55">
        <v>40.067917999999992</v>
      </c>
      <c r="H77" s="55">
        <v>54.13732000000001</v>
      </c>
      <c r="I77" s="55">
        <v>54.967039999999997</v>
      </c>
      <c r="J77" s="55">
        <v>54.439283999999994</v>
      </c>
      <c r="K77" s="55">
        <v>49.056500000000007</v>
      </c>
      <c r="L77" s="55">
        <v>43.826492000000002</v>
      </c>
      <c r="M77" s="55">
        <v>42.463042000000002</v>
      </c>
      <c r="N77" s="55">
        <v>34.710081000000002</v>
      </c>
      <c r="O77" s="55">
        <v>28.293331000000002</v>
      </c>
      <c r="P77" s="55">
        <v>28.634687</v>
      </c>
      <c r="Q77" s="55">
        <v>42.303030000000007</v>
      </c>
      <c r="R77" s="55">
        <v>37.787132999999997</v>
      </c>
      <c r="S77" s="55">
        <v>3934.3368458600003</v>
      </c>
      <c r="T77" s="55">
        <v>2611.6968826299999</v>
      </c>
      <c r="U77" s="55">
        <v>2810.8692746500001</v>
      </c>
      <c r="V77" s="55">
        <v>28.316766000000001</v>
      </c>
      <c r="W77" s="55">
        <v>25.447409</v>
      </c>
      <c r="X77" s="55">
        <v>26.994606999999998</v>
      </c>
      <c r="Y77" s="55">
        <v>34.371838000000004</v>
      </c>
      <c r="Z77" s="55">
        <v>23.460534000000003</v>
      </c>
      <c r="AA77" s="55">
        <v>16.307687000000001</v>
      </c>
      <c r="AB77" s="55">
        <v>18.116561000000001</v>
      </c>
      <c r="AC77" s="55">
        <v>193.45939735999997</v>
      </c>
      <c r="AD77" s="55">
        <v>165.81028219999999</v>
      </c>
      <c r="AE77" s="55">
        <v>14.157118999999998</v>
      </c>
    </row>
    <row r="78" spans="1:31" s="55" customFormat="1" x14ac:dyDescent="0.35">
      <c r="A78" s="57">
        <v>75</v>
      </c>
      <c r="B78" s="35"/>
      <c r="C78" s="35"/>
      <c r="D78" s="47" t="s">
        <v>12</v>
      </c>
      <c r="E78" s="47" t="s">
        <v>22</v>
      </c>
      <c r="F78" s="55">
        <v>1523.5466008229</v>
      </c>
      <c r="G78" s="55">
        <v>1479.5095209954998</v>
      </c>
      <c r="H78" s="55">
        <v>1293.888191</v>
      </c>
      <c r="I78" s="55">
        <v>1350.077196</v>
      </c>
      <c r="J78" s="55">
        <v>1523.316098</v>
      </c>
      <c r="K78" s="55">
        <v>1486.913102</v>
      </c>
      <c r="L78" s="55">
        <v>1272.7013569999999</v>
      </c>
      <c r="M78" s="55">
        <v>1214.1287749999999</v>
      </c>
      <c r="N78" s="55">
        <v>1250.5769170000001</v>
      </c>
      <c r="O78" s="55">
        <v>1234.6704949999998</v>
      </c>
      <c r="P78" s="55">
        <v>1492.1011340000002</v>
      </c>
      <c r="Q78" s="55">
        <v>1633.0479559999999</v>
      </c>
      <c r="R78" s="55">
        <v>1791.3074260000001</v>
      </c>
      <c r="S78" s="55">
        <v>2249.050984</v>
      </c>
      <c r="T78" s="55">
        <v>2384.7557679999995</v>
      </c>
      <c r="U78" s="55">
        <v>2451.3515940000007</v>
      </c>
      <c r="V78" s="55">
        <v>2465.890723</v>
      </c>
      <c r="W78" s="55">
        <v>2602.8633770000001</v>
      </c>
      <c r="X78" s="55">
        <v>2677.1486837699999</v>
      </c>
      <c r="Y78" s="55">
        <v>2603.9500275599999</v>
      </c>
      <c r="Z78" s="55">
        <v>2750.7138007399999</v>
      </c>
      <c r="AA78" s="55">
        <v>2562.0216098299998</v>
      </c>
      <c r="AB78" s="55">
        <v>2779.12728771</v>
      </c>
      <c r="AC78" s="55">
        <v>3091.0800537300001</v>
      </c>
      <c r="AD78" s="55">
        <v>3474.6383507800001</v>
      </c>
      <c r="AE78" s="55">
        <v>3573.6792332300001</v>
      </c>
    </row>
    <row r="79" spans="1:31" s="55" customFormat="1" x14ac:dyDescent="0.35">
      <c r="A79" s="57">
        <v>76</v>
      </c>
      <c r="B79" s="35"/>
      <c r="C79" s="35"/>
      <c r="D79" s="47" t="s">
        <v>13</v>
      </c>
      <c r="E79" s="47" t="s">
        <v>23</v>
      </c>
      <c r="F79" s="55">
        <v>0</v>
      </c>
      <c r="G79" s="55">
        <v>9.5000000000000001E-2</v>
      </c>
      <c r="H79" s="55">
        <v>5.2200000000000003E-2</v>
      </c>
      <c r="I79" s="55">
        <v>7.6974340000000003</v>
      </c>
      <c r="J79" s="55">
        <v>0</v>
      </c>
      <c r="K79" s="55">
        <v>0</v>
      </c>
      <c r="L79" s="55">
        <v>0</v>
      </c>
      <c r="M79" s="55">
        <v>0</v>
      </c>
      <c r="N79" s="55">
        <v>0</v>
      </c>
      <c r="O79" s="55">
        <v>0</v>
      </c>
      <c r="P79" s="55">
        <v>0</v>
      </c>
      <c r="Q79" s="55">
        <v>0</v>
      </c>
      <c r="R79" s="55">
        <v>0</v>
      </c>
      <c r="S79" s="55">
        <v>0</v>
      </c>
      <c r="T79" s="55">
        <v>0</v>
      </c>
      <c r="U79" s="55">
        <v>0</v>
      </c>
      <c r="V79" s="55">
        <v>0</v>
      </c>
      <c r="W79" s="55">
        <v>0</v>
      </c>
      <c r="X79" s="55">
        <v>0</v>
      </c>
      <c r="Y79" s="55">
        <v>0</v>
      </c>
      <c r="Z79" s="55">
        <v>0</v>
      </c>
      <c r="AA79" s="55">
        <v>0</v>
      </c>
      <c r="AB79" s="55">
        <v>0</v>
      </c>
      <c r="AC79" s="55">
        <v>0</v>
      </c>
      <c r="AD79" s="55">
        <v>0</v>
      </c>
      <c r="AE79" s="55">
        <v>0</v>
      </c>
    </row>
    <row r="80" spans="1:31" s="54" customFormat="1" x14ac:dyDescent="0.35">
      <c r="A80" s="57">
        <v>77</v>
      </c>
      <c r="B80" s="35"/>
      <c r="C80" s="35"/>
      <c r="D80" s="46" t="s">
        <v>1</v>
      </c>
      <c r="E80" s="46" t="s">
        <v>24</v>
      </c>
      <c r="F80" s="54">
        <v>394.42157323629999</v>
      </c>
      <c r="G80" s="54">
        <v>76.619903983899988</v>
      </c>
      <c r="H80" s="54">
        <v>29.417822000000001</v>
      </c>
      <c r="I80" s="54">
        <v>37.563891000000005</v>
      </c>
      <c r="J80" s="54">
        <v>42.796659999999996</v>
      </c>
      <c r="K80" s="54">
        <v>37.238991999999996</v>
      </c>
      <c r="L80" s="54">
        <v>187.33979099999999</v>
      </c>
      <c r="M80" s="54">
        <v>280.29737499999999</v>
      </c>
      <c r="N80" s="54">
        <v>451.955265</v>
      </c>
      <c r="O80" s="54">
        <v>501.92920899999996</v>
      </c>
      <c r="P80" s="54">
        <v>494.544352</v>
      </c>
      <c r="Q80" s="54">
        <v>447.68610999999999</v>
      </c>
      <c r="R80" s="54">
        <v>687.869867</v>
      </c>
      <c r="S80" s="54">
        <v>707.49506500000007</v>
      </c>
      <c r="T80" s="54">
        <v>688.92698800000005</v>
      </c>
      <c r="U80" s="54">
        <v>698.71999700000003</v>
      </c>
      <c r="V80" s="54">
        <v>713.15483500000005</v>
      </c>
      <c r="W80" s="54">
        <v>694.12748399999998</v>
      </c>
      <c r="X80" s="54">
        <v>676.35495578000007</v>
      </c>
      <c r="Y80" s="54">
        <v>657.49470534999989</v>
      </c>
      <c r="Z80" s="54">
        <v>922.59922619999998</v>
      </c>
      <c r="AA80" s="54">
        <v>874.01258078000012</v>
      </c>
      <c r="AB80" s="54">
        <v>829.02275971999995</v>
      </c>
      <c r="AC80" s="54">
        <v>800.65211546</v>
      </c>
      <c r="AD80" s="54">
        <v>1089.8872914999999</v>
      </c>
      <c r="AE80" s="54">
        <v>1017.42463384</v>
      </c>
    </row>
    <row r="81" spans="1:31" s="54" customFormat="1" x14ac:dyDescent="0.35">
      <c r="A81" s="57">
        <v>78</v>
      </c>
      <c r="B81" s="35"/>
      <c r="C81" s="35"/>
      <c r="D81" s="46" t="s">
        <v>25</v>
      </c>
      <c r="E81" s="46" t="s">
        <v>26</v>
      </c>
      <c r="F81" s="54">
        <v>9287.1115116937308</v>
      </c>
      <c r="G81" s="54">
        <v>10938.8789805753</v>
      </c>
      <c r="H81" s="54">
        <v>13158.215520599575</v>
      </c>
      <c r="I81" s="54">
        <v>17288.49783226315</v>
      </c>
      <c r="J81" s="54">
        <v>23773.704340470926</v>
      </c>
      <c r="K81" s="54">
        <v>24758.940180400026</v>
      </c>
      <c r="L81" s="54">
        <v>24591.677935348172</v>
      </c>
      <c r="M81" s="54">
        <v>25762.748805546151</v>
      </c>
      <c r="N81" s="54">
        <v>26280.060573770934</v>
      </c>
      <c r="O81" s="54">
        <v>27436.163046671878</v>
      </c>
      <c r="P81" s="54">
        <v>30124.8577352313</v>
      </c>
      <c r="Q81" s="54">
        <v>33047.948805290522</v>
      </c>
      <c r="R81" s="54">
        <v>34746.51065824087</v>
      </c>
      <c r="S81" s="54">
        <v>36049.294499951531</v>
      </c>
      <c r="T81" s="54">
        <v>37576.845449467051</v>
      </c>
      <c r="U81" s="54">
        <v>37731.589323692162</v>
      </c>
      <c r="V81" s="54">
        <v>36858.322964360377</v>
      </c>
      <c r="W81" s="54">
        <v>36610.916996228822</v>
      </c>
      <c r="X81" s="54">
        <v>37213.554429688615</v>
      </c>
      <c r="Y81" s="54">
        <v>38277.857385144387</v>
      </c>
      <c r="Z81" s="54">
        <v>38441.684137014301</v>
      </c>
      <c r="AA81" s="54">
        <v>39297.559037195293</v>
      </c>
      <c r="AB81" s="54">
        <v>41575.685642717464</v>
      </c>
      <c r="AC81" s="54">
        <v>44954.957689602525</v>
      </c>
      <c r="AD81" s="54">
        <v>48271.612338642175</v>
      </c>
      <c r="AE81" s="54">
        <v>51386.515303597807</v>
      </c>
    </row>
    <row r="82" spans="1:31" s="52" customFormat="1" ht="15.5" x14ac:dyDescent="0.35">
      <c r="A82" s="57">
        <v>79</v>
      </c>
      <c r="B82" s="35"/>
      <c r="C82" s="35"/>
      <c r="D82" s="45" t="s">
        <v>15</v>
      </c>
      <c r="E82" s="45" t="s">
        <v>17</v>
      </c>
      <c r="F82" s="52">
        <v>261.51228913199998</v>
      </c>
      <c r="G82" s="52">
        <v>180.3315744082</v>
      </c>
      <c r="H82" s="52">
        <v>130.51759587000001</v>
      </c>
      <c r="I82" s="52">
        <v>27.581122000000001</v>
      </c>
      <c r="J82" s="52">
        <v>30.766649000000001</v>
      </c>
      <c r="K82" s="52">
        <v>369.57471400000003</v>
      </c>
      <c r="L82" s="52">
        <v>334.20581800000002</v>
      </c>
      <c r="M82" s="52">
        <v>352.31504899999999</v>
      </c>
      <c r="N82" s="52">
        <v>378.44192799999996</v>
      </c>
      <c r="O82" s="52">
        <v>372.81394299999999</v>
      </c>
      <c r="P82" s="52">
        <v>296.74864300000002</v>
      </c>
      <c r="Q82" s="52">
        <v>412.65198300000009</v>
      </c>
      <c r="R82" s="52">
        <v>424.88908299999997</v>
      </c>
      <c r="S82" s="52">
        <v>403.00035099999997</v>
      </c>
      <c r="T82" s="52">
        <v>283.749394</v>
      </c>
      <c r="U82" s="52">
        <v>412.14434599999998</v>
      </c>
      <c r="V82" s="52">
        <v>383.837445</v>
      </c>
      <c r="W82" s="52">
        <v>408.76294100000001</v>
      </c>
      <c r="X82" s="52">
        <v>248.83733372999998</v>
      </c>
      <c r="Y82" s="52">
        <v>228.8423044800119</v>
      </c>
      <c r="Z82" s="52">
        <v>227.22015714</v>
      </c>
      <c r="AA82" s="52">
        <v>316.12835997499997</v>
      </c>
      <c r="AB82" s="52">
        <v>159.7315317995</v>
      </c>
      <c r="AC82" s="52">
        <v>307.65706863639991</v>
      </c>
      <c r="AD82" s="52">
        <v>279.98160642000005</v>
      </c>
      <c r="AE82" s="52">
        <v>277.78958004999998</v>
      </c>
    </row>
    <row r="83" spans="1:31" s="51" customFormat="1" ht="9" customHeight="1" x14ac:dyDescent="0.35">
      <c r="A83" s="57">
        <v>80</v>
      </c>
      <c r="B83" s="35"/>
      <c r="C83" s="35"/>
      <c r="D83" s="49"/>
      <c r="E83" s="49"/>
      <c r="F83" s="51">
        <v>0</v>
      </c>
      <c r="G83" s="51">
        <v>0</v>
      </c>
      <c r="H83" s="51">
        <v>0</v>
      </c>
      <c r="I83" s="51">
        <v>0</v>
      </c>
      <c r="J83" s="51">
        <v>0</v>
      </c>
      <c r="K83" s="51">
        <v>0</v>
      </c>
      <c r="L83" s="51">
        <v>0</v>
      </c>
      <c r="M83" s="51">
        <v>0</v>
      </c>
      <c r="N83" s="51">
        <v>0</v>
      </c>
      <c r="O83" s="51">
        <v>0</v>
      </c>
      <c r="P83" s="51">
        <v>0</v>
      </c>
      <c r="Q83" s="51">
        <v>0</v>
      </c>
      <c r="R83" s="51">
        <v>0</v>
      </c>
      <c r="S83" s="51">
        <v>0</v>
      </c>
      <c r="T83" s="51">
        <v>0</v>
      </c>
      <c r="U83" s="51">
        <v>0</v>
      </c>
      <c r="V83" s="51">
        <v>0</v>
      </c>
      <c r="W83" s="51">
        <v>0</v>
      </c>
      <c r="X83" s="51">
        <v>0</v>
      </c>
      <c r="Y83" s="51">
        <v>0</v>
      </c>
      <c r="Z83" s="51">
        <v>0</v>
      </c>
      <c r="AA83" s="51">
        <v>0</v>
      </c>
      <c r="AB83" s="51">
        <v>0</v>
      </c>
      <c r="AC83" s="51">
        <v>0</v>
      </c>
      <c r="AD83" s="51">
        <v>0</v>
      </c>
      <c r="AE83" s="51">
        <v>0</v>
      </c>
    </row>
    <row r="84" spans="1:31" s="51" customFormat="1" ht="26.15" customHeight="1" x14ac:dyDescent="0.45">
      <c r="A84" s="57">
        <v>81</v>
      </c>
      <c r="B84" s="42"/>
      <c r="C84" s="44" t="s">
        <v>19</v>
      </c>
      <c r="D84" s="44"/>
      <c r="E84" s="35"/>
    </row>
    <row r="85" spans="1:31" s="52" customFormat="1" ht="18" customHeight="1" x14ac:dyDescent="0.35">
      <c r="A85" s="57">
        <v>82</v>
      </c>
      <c r="B85" s="35"/>
      <c r="C85" s="35"/>
      <c r="D85" s="45" t="s">
        <v>9</v>
      </c>
      <c r="E85" s="45" t="s">
        <v>30</v>
      </c>
      <c r="F85" s="52">
        <f t="shared" ref="F85:Q85" si="180">F86+F87+F91+F92</f>
        <v>368.75969448000001</v>
      </c>
      <c r="G85" s="52">
        <f t="shared" si="180"/>
        <v>404.92201165</v>
      </c>
      <c r="H85" s="52">
        <f t="shared" si="180"/>
        <v>455.09027115000004</v>
      </c>
      <c r="I85" s="52">
        <f t="shared" si="180"/>
        <v>643.36839868000004</v>
      </c>
      <c r="J85" s="52">
        <f t="shared" si="180"/>
        <v>428.00885210000001</v>
      </c>
      <c r="K85" s="52">
        <f t="shared" si="180"/>
        <v>439.01551059999997</v>
      </c>
      <c r="L85" s="52">
        <f t="shared" si="180"/>
        <v>435.11914710000002</v>
      </c>
      <c r="M85" s="52">
        <f t="shared" si="180"/>
        <v>430.60961209999999</v>
      </c>
      <c r="N85" s="52">
        <f t="shared" si="180"/>
        <v>339.52305409999997</v>
      </c>
      <c r="O85" s="52">
        <f t="shared" si="180"/>
        <v>346.25976760000003</v>
      </c>
      <c r="P85" s="52">
        <f t="shared" si="180"/>
        <v>373.25306499999999</v>
      </c>
      <c r="Q85" s="52">
        <f t="shared" si="180"/>
        <v>422.09175192000004</v>
      </c>
      <c r="R85" s="52">
        <f t="shared" ref="R85:S85" si="181">R86+R87+R91+R92</f>
        <v>331.22878703309391</v>
      </c>
      <c r="S85" s="52">
        <f t="shared" si="181"/>
        <v>360.46996963591641</v>
      </c>
      <c r="T85" s="52">
        <f t="shared" ref="T85" si="182">T86+T87+T91+T92</f>
        <v>386.5783360453421</v>
      </c>
      <c r="U85" s="52">
        <f t="shared" ref="U85" si="183">U86+U87+U91+U92</f>
        <v>373.44058880711486</v>
      </c>
      <c r="V85" s="52">
        <f t="shared" ref="V85" si="184">V86+V87+V91+V92</f>
        <v>320.46830567095418</v>
      </c>
      <c r="W85" s="52">
        <f t="shared" ref="W85" si="185">W86+W87+W91+W92</f>
        <v>369.20861981291364</v>
      </c>
      <c r="X85" s="52">
        <f t="shared" ref="X85" si="186">X86+X87+X91+X92</f>
        <v>371.65212437402818</v>
      </c>
      <c r="Y85" s="52">
        <f t="shared" ref="Y85" si="187">Y86+Y87+Y91+Y92</f>
        <v>386.46303035592985</v>
      </c>
      <c r="Z85" s="52">
        <f t="shared" ref="Z85" si="188">Z86+Z87+Z91+Z92</f>
        <v>364.43904424014352</v>
      </c>
      <c r="AA85" s="52">
        <f t="shared" ref="AA85" si="189">AA86+AA87+AA91+AA92</f>
        <v>376.01438924008227</v>
      </c>
      <c r="AB85" s="52">
        <f t="shared" ref="AB85:AC85" si="190">AB86+AB87+AB91+AB92</f>
        <v>374.40507373747721</v>
      </c>
      <c r="AC85" s="52">
        <f t="shared" si="190"/>
        <v>372.49615947548193</v>
      </c>
      <c r="AD85" s="52">
        <v>364.96872921974835</v>
      </c>
      <c r="AE85" s="52">
        <v>401.92217641501009</v>
      </c>
    </row>
    <row r="86" spans="1:31" s="55" customFormat="1" x14ac:dyDescent="0.35">
      <c r="A86" s="57">
        <v>83</v>
      </c>
      <c r="B86" s="35"/>
      <c r="C86" s="35"/>
      <c r="D86" s="46" t="s">
        <v>10</v>
      </c>
      <c r="E86" s="46" t="s">
        <v>18</v>
      </c>
      <c r="F86" s="55">
        <v>259.67858280999997</v>
      </c>
      <c r="G86" s="55">
        <v>259.99394565</v>
      </c>
      <c r="H86" s="55">
        <v>206.08603214999999</v>
      </c>
      <c r="I86" s="55">
        <v>362.63070268000001</v>
      </c>
      <c r="J86" s="55">
        <v>293.81646710000001</v>
      </c>
      <c r="K86" s="55">
        <v>305.62403059999997</v>
      </c>
      <c r="L86" s="55">
        <v>302.04995210000004</v>
      </c>
      <c r="M86" s="55">
        <v>298.6441231</v>
      </c>
      <c r="N86" s="55">
        <v>191.14136509999997</v>
      </c>
      <c r="O86" s="55">
        <v>197.87807860000001</v>
      </c>
      <c r="P86" s="55">
        <v>210.49899300000001</v>
      </c>
      <c r="Q86" s="55">
        <v>259.33767992000003</v>
      </c>
      <c r="R86" s="55">
        <v>271.42578271999997</v>
      </c>
      <c r="S86" s="55">
        <v>299.34471922</v>
      </c>
      <c r="T86" s="55">
        <v>315.84390480000002</v>
      </c>
      <c r="U86" s="55">
        <v>302.38601812000002</v>
      </c>
      <c r="V86" s="55">
        <v>255.20859799999999</v>
      </c>
      <c r="W86" s="55">
        <v>309.07220697000002</v>
      </c>
      <c r="X86" s="55">
        <v>310.16036601999997</v>
      </c>
      <c r="Y86" s="55">
        <v>317.81597735999992</v>
      </c>
      <c r="Z86" s="55">
        <v>303.42893975000004</v>
      </c>
      <c r="AA86" s="55">
        <v>312.55016624000007</v>
      </c>
      <c r="AB86" s="55">
        <v>309.87276495999998</v>
      </c>
      <c r="AC86" s="55">
        <v>305.28696550999996</v>
      </c>
      <c r="AD86" s="55">
        <v>298.83986169000002</v>
      </c>
      <c r="AE86" s="55">
        <v>298.12265330000002</v>
      </c>
    </row>
    <row r="87" spans="1:31" s="54" customFormat="1" x14ac:dyDescent="0.35">
      <c r="A87" s="57">
        <v>84</v>
      </c>
      <c r="B87" s="35"/>
      <c r="C87" s="35"/>
      <c r="D87" s="46" t="s">
        <v>11</v>
      </c>
      <c r="E87" s="46" t="s">
        <v>0</v>
      </c>
      <c r="F87" s="54">
        <f t="shared" ref="F87:Q87" si="191">SUM(F88:F90)</f>
        <v>109.08111167000001</v>
      </c>
      <c r="G87" s="54">
        <f t="shared" si="191"/>
        <v>144.928066</v>
      </c>
      <c r="H87" s="54">
        <f t="shared" si="191"/>
        <v>249.00423900000001</v>
      </c>
      <c r="I87" s="54">
        <f t="shared" si="191"/>
        <v>280.73769600000003</v>
      </c>
      <c r="J87" s="54">
        <f t="shared" si="191"/>
        <v>134.192385</v>
      </c>
      <c r="K87" s="54">
        <f t="shared" si="191"/>
        <v>133.39148</v>
      </c>
      <c r="L87" s="54">
        <f t="shared" si="191"/>
        <v>133.06919499999998</v>
      </c>
      <c r="M87" s="54">
        <f t="shared" si="191"/>
        <v>131.96548899999999</v>
      </c>
      <c r="N87" s="54">
        <f t="shared" si="191"/>
        <v>148.38168899999999</v>
      </c>
      <c r="O87" s="54">
        <f t="shared" si="191"/>
        <v>148.38168899999999</v>
      </c>
      <c r="P87" s="54">
        <f t="shared" si="191"/>
        <v>162.75407200000001</v>
      </c>
      <c r="Q87" s="54">
        <f t="shared" si="191"/>
        <v>162.75407200000001</v>
      </c>
      <c r="R87" s="54">
        <f t="shared" ref="R87:S87" si="192">SUM(R88:R90)</f>
        <v>59.803004313093936</v>
      </c>
      <c r="S87" s="54">
        <f t="shared" si="192"/>
        <v>61.125250415916426</v>
      </c>
      <c r="T87" s="54">
        <f t="shared" ref="T87" si="193">SUM(T88:T90)</f>
        <v>70.734431245342066</v>
      </c>
      <c r="U87" s="54">
        <f t="shared" ref="U87" si="194">SUM(U88:U90)</f>
        <v>71.054570687114847</v>
      </c>
      <c r="V87" s="54">
        <f t="shared" ref="V87" si="195">SUM(V88:V90)</f>
        <v>65.259707670954185</v>
      </c>
      <c r="W87" s="54">
        <f t="shared" ref="W87" si="196">SUM(W88:W90)</f>
        <v>60.136412842913607</v>
      </c>
      <c r="X87" s="54">
        <f t="shared" ref="X87" si="197">SUM(X88:X90)</f>
        <v>61.491758354028185</v>
      </c>
      <c r="Y87" s="54">
        <f t="shared" ref="Y87" si="198">SUM(Y88:Y90)</f>
        <v>68.647052995929897</v>
      </c>
      <c r="Z87" s="54">
        <f t="shared" ref="Z87" si="199">SUM(Z88:Z90)</f>
        <v>61.010104490143497</v>
      </c>
      <c r="AA87" s="54">
        <f t="shared" ref="AA87" si="200">SUM(AA88:AA90)</f>
        <v>63.464223000082193</v>
      </c>
      <c r="AB87" s="54">
        <f t="shared" ref="AB87:AC87" si="201">SUM(AB88:AB90)</f>
        <v>64.532308777477255</v>
      </c>
      <c r="AC87" s="54">
        <f t="shared" si="201"/>
        <v>67.209193965481973</v>
      </c>
      <c r="AD87" s="54">
        <v>66.128867529748334</v>
      </c>
      <c r="AE87" s="54">
        <v>103.79952311501003</v>
      </c>
    </row>
    <row r="88" spans="1:31" s="55" customFormat="1" x14ac:dyDescent="0.35">
      <c r="A88" s="57">
        <v>85</v>
      </c>
      <c r="B88" s="35"/>
      <c r="C88" s="35"/>
      <c r="D88" s="47" t="s">
        <v>21</v>
      </c>
      <c r="E88" s="47" t="s">
        <v>20</v>
      </c>
      <c r="F88" s="55">
        <v>28.011630670000002</v>
      </c>
      <c r="G88" s="55">
        <v>15.692423</v>
      </c>
      <c r="H88" s="55">
        <v>9.8647659999999995</v>
      </c>
      <c r="I88" s="55">
        <v>9.8052899999999994</v>
      </c>
      <c r="J88" s="55">
        <v>0</v>
      </c>
      <c r="K88" s="55">
        <v>0</v>
      </c>
      <c r="L88" s="55">
        <v>0</v>
      </c>
      <c r="M88" s="55">
        <v>0</v>
      </c>
      <c r="N88" s="55">
        <v>0</v>
      </c>
      <c r="O88" s="55">
        <v>0</v>
      </c>
      <c r="P88" s="55">
        <v>0</v>
      </c>
      <c r="Q88" s="55">
        <v>0</v>
      </c>
      <c r="R88" s="55">
        <v>0</v>
      </c>
      <c r="S88" s="55">
        <v>0</v>
      </c>
      <c r="T88" s="55">
        <v>0</v>
      </c>
      <c r="U88" s="55">
        <v>0</v>
      </c>
      <c r="V88" s="55">
        <v>3.1903230000000002</v>
      </c>
      <c r="W88" s="55">
        <v>2.1086670000000001</v>
      </c>
      <c r="X88" s="55">
        <v>1.7544850000000001</v>
      </c>
      <c r="Y88" s="55">
        <v>6.7376950000000004</v>
      </c>
      <c r="Z88" s="55">
        <v>0.87519999999999998</v>
      </c>
      <c r="AA88" s="55">
        <v>1.8089</v>
      </c>
      <c r="AB88" s="55">
        <v>1.7930999999999999</v>
      </c>
      <c r="AC88" s="55">
        <v>0.4</v>
      </c>
      <c r="AD88" s="55">
        <v>0.4</v>
      </c>
      <c r="AE88" s="55">
        <v>39.734780000000001</v>
      </c>
    </row>
    <row r="89" spans="1:31" s="55" customFormat="1" x14ac:dyDescent="0.35">
      <c r="A89" s="57">
        <v>86</v>
      </c>
      <c r="B89" s="35"/>
      <c r="C89" s="35"/>
      <c r="D89" s="47" t="s">
        <v>12</v>
      </c>
      <c r="E89" s="47" t="s">
        <v>22</v>
      </c>
      <c r="F89" s="55">
        <v>38.583232585097349</v>
      </c>
      <c r="G89" s="55">
        <v>84.772333812588542</v>
      </c>
      <c r="H89" s="55">
        <v>193.52516825129428</v>
      </c>
      <c r="I89" s="55">
        <v>214.92805323283375</v>
      </c>
      <c r="J89" s="55">
        <v>88.903186069698847</v>
      </c>
      <c r="K89" s="55">
        <v>105.02457557749005</v>
      </c>
      <c r="L89" s="55">
        <v>103.9702364830956</v>
      </c>
      <c r="M89" s="55">
        <v>103.77650964850282</v>
      </c>
      <c r="N89" s="55">
        <v>121.70836725333206</v>
      </c>
      <c r="O89" s="55">
        <v>118.04590018038047</v>
      </c>
      <c r="P89" s="55">
        <v>132.54546045871746</v>
      </c>
      <c r="Q89" s="55">
        <v>137.29152479359007</v>
      </c>
      <c r="R89" s="55">
        <v>34.632355000000004</v>
      </c>
      <c r="S89" s="55">
        <v>34.632355000000004</v>
      </c>
      <c r="T89" s="55">
        <v>34.854241999999999</v>
      </c>
      <c r="U89" s="55">
        <v>33.745857999999998</v>
      </c>
      <c r="V89" s="55">
        <v>37.554001</v>
      </c>
      <c r="W89" s="55">
        <v>33.816642999999999</v>
      </c>
      <c r="X89" s="55">
        <v>33.928285000000002</v>
      </c>
      <c r="Y89" s="55">
        <v>33.928285000000002</v>
      </c>
      <c r="Z89" s="55">
        <v>34.130895000000002</v>
      </c>
      <c r="AA89" s="55">
        <v>34.130895000000002</v>
      </c>
      <c r="AB89" s="55">
        <v>34.219695999999999</v>
      </c>
      <c r="AC89" s="55">
        <v>35.788417000000003</v>
      </c>
      <c r="AD89" s="55">
        <v>36.248809000000001</v>
      </c>
      <c r="AE89" s="55">
        <v>34.211061999999998</v>
      </c>
    </row>
    <row r="90" spans="1:31" s="55" customFormat="1" x14ac:dyDescent="0.35">
      <c r="A90" s="57">
        <v>87</v>
      </c>
      <c r="B90" s="35"/>
      <c r="C90" s="35"/>
      <c r="D90" s="47" t="s">
        <v>13</v>
      </c>
      <c r="E90" s="47" t="s">
        <v>23</v>
      </c>
      <c r="F90" s="55">
        <v>42.486248414902661</v>
      </c>
      <c r="G90" s="55">
        <v>44.463309187411468</v>
      </c>
      <c r="H90" s="55">
        <v>45.614304748705734</v>
      </c>
      <c r="I90" s="55">
        <v>56.004352767166253</v>
      </c>
      <c r="J90" s="55">
        <v>45.289198930301147</v>
      </c>
      <c r="K90" s="55">
        <v>28.366904422509954</v>
      </c>
      <c r="L90" s="55">
        <v>29.098958516904389</v>
      </c>
      <c r="M90" s="55">
        <v>28.188979351497178</v>
      </c>
      <c r="N90" s="55">
        <v>26.673321746667931</v>
      </c>
      <c r="O90" s="55">
        <v>30.335788819619516</v>
      </c>
      <c r="P90" s="55">
        <v>30.208611541282554</v>
      </c>
      <c r="Q90" s="55">
        <v>25.46254720640993</v>
      </c>
      <c r="R90" s="55">
        <v>25.170649313093929</v>
      </c>
      <c r="S90" s="55">
        <v>26.492895415916426</v>
      </c>
      <c r="T90" s="55">
        <v>35.880189245342066</v>
      </c>
      <c r="U90" s="55">
        <v>37.308712687114856</v>
      </c>
      <c r="V90" s="55">
        <v>24.515383670954186</v>
      </c>
      <c r="W90" s="55">
        <v>24.211102842913611</v>
      </c>
      <c r="X90" s="55">
        <v>25.80898835402818</v>
      </c>
      <c r="Y90" s="55">
        <v>27.981072995929896</v>
      </c>
      <c r="Z90" s="55">
        <v>26.004009490143495</v>
      </c>
      <c r="AA90" s="55">
        <v>27.524428000082189</v>
      </c>
      <c r="AB90" s="55">
        <v>28.519512777477246</v>
      </c>
      <c r="AC90" s="55">
        <v>31.020776965481968</v>
      </c>
      <c r="AD90" s="55">
        <v>29.48005852974833</v>
      </c>
      <c r="AE90" s="55">
        <v>29.853681115010026</v>
      </c>
    </row>
    <row r="91" spans="1:31" s="54" customFormat="1" x14ac:dyDescent="0.35">
      <c r="A91" s="57">
        <v>88</v>
      </c>
      <c r="B91" s="35"/>
      <c r="C91" s="35"/>
      <c r="D91" s="46" t="s">
        <v>1</v>
      </c>
      <c r="E91" s="46" t="s">
        <v>24</v>
      </c>
      <c r="F91" s="54">
        <v>0</v>
      </c>
      <c r="G91" s="54">
        <v>0</v>
      </c>
      <c r="H91" s="54">
        <v>0</v>
      </c>
      <c r="I91" s="54">
        <v>0</v>
      </c>
      <c r="J91" s="54">
        <v>0</v>
      </c>
      <c r="K91" s="54">
        <v>0</v>
      </c>
      <c r="L91" s="54">
        <v>0</v>
      </c>
      <c r="M91" s="54">
        <v>0</v>
      </c>
      <c r="N91" s="54">
        <v>0</v>
      </c>
      <c r="O91" s="54">
        <v>0</v>
      </c>
      <c r="P91" s="54">
        <v>0</v>
      </c>
      <c r="Q91" s="54">
        <v>0</v>
      </c>
      <c r="R91" s="54">
        <v>0</v>
      </c>
      <c r="S91" s="54">
        <v>0</v>
      </c>
      <c r="T91" s="54">
        <v>0</v>
      </c>
      <c r="U91" s="54">
        <v>0</v>
      </c>
      <c r="V91" s="54">
        <v>0</v>
      </c>
      <c r="W91" s="54">
        <v>0</v>
      </c>
      <c r="X91" s="54">
        <v>0</v>
      </c>
      <c r="Y91" s="54">
        <v>0</v>
      </c>
      <c r="Z91" s="54">
        <v>0</v>
      </c>
      <c r="AA91" s="54">
        <v>0</v>
      </c>
      <c r="AB91" s="54">
        <v>0</v>
      </c>
      <c r="AC91" s="54">
        <v>0</v>
      </c>
      <c r="AD91" s="54">
        <v>0</v>
      </c>
      <c r="AE91" s="54">
        <v>0</v>
      </c>
    </row>
    <row r="92" spans="1:31" s="54" customFormat="1" x14ac:dyDescent="0.35">
      <c r="A92" s="57">
        <v>89</v>
      </c>
      <c r="B92" s="35"/>
      <c r="C92" s="35"/>
      <c r="D92" s="46" t="s">
        <v>25</v>
      </c>
      <c r="E92" s="46" t="s">
        <v>26</v>
      </c>
      <c r="F92" s="54">
        <v>0</v>
      </c>
      <c r="G92" s="54">
        <v>0</v>
      </c>
      <c r="H92" s="54">
        <v>0</v>
      </c>
      <c r="I92" s="54">
        <v>0</v>
      </c>
      <c r="J92" s="54">
        <v>0</v>
      </c>
      <c r="K92" s="54">
        <v>0</v>
      </c>
      <c r="L92" s="54">
        <v>0</v>
      </c>
      <c r="M92" s="54">
        <v>0</v>
      </c>
      <c r="N92" s="54">
        <v>0</v>
      </c>
      <c r="O92" s="54">
        <v>0</v>
      </c>
      <c r="P92" s="54">
        <v>0</v>
      </c>
      <c r="Q92" s="54">
        <v>0</v>
      </c>
      <c r="R92" s="54">
        <v>0</v>
      </c>
      <c r="S92" s="54">
        <v>0</v>
      </c>
      <c r="T92" s="54">
        <v>0</v>
      </c>
      <c r="U92" s="54">
        <v>0</v>
      </c>
      <c r="V92" s="54">
        <v>0</v>
      </c>
      <c r="W92" s="54">
        <v>0</v>
      </c>
      <c r="X92" s="54">
        <v>0</v>
      </c>
      <c r="Y92" s="54">
        <v>0</v>
      </c>
      <c r="Z92" s="54">
        <v>0</v>
      </c>
      <c r="AA92" s="54">
        <v>0</v>
      </c>
      <c r="AB92" s="54">
        <v>0</v>
      </c>
      <c r="AC92" s="54">
        <v>0</v>
      </c>
      <c r="AD92" s="54">
        <v>0</v>
      </c>
      <c r="AE92" s="54">
        <v>0</v>
      </c>
    </row>
    <row r="93" spans="1:31" s="52" customFormat="1" ht="15.5" x14ac:dyDescent="0.35">
      <c r="A93" s="57">
        <v>90</v>
      </c>
      <c r="B93" s="35"/>
      <c r="C93" s="35"/>
      <c r="D93" s="45" t="s">
        <v>15</v>
      </c>
      <c r="E93" s="45" t="s">
        <v>17</v>
      </c>
      <c r="F93" s="52">
        <v>329.70564439999998</v>
      </c>
      <c r="G93" s="52">
        <v>464.96189398000001</v>
      </c>
      <c r="H93" s="52">
        <v>448.35824779999996</v>
      </c>
      <c r="I93" s="52">
        <v>432.52624479999997</v>
      </c>
      <c r="J93" s="52">
        <v>102.5127114</v>
      </c>
      <c r="K93" s="52">
        <v>102.5615634</v>
      </c>
      <c r="L93" s="52">
        <v>102.55994840000001</v>
      </c>
      <c r="M93" s="52">
        <v>125.56614840000002</v>
      </c>
      <c r="N93" s="52">
        <v>125.6428684</v>
      </c>
      <c r="O93" s="52">
        <v>125.6429584</v>
      </c>
      <c r="P93" s="52">
        <v>125.60861740000001</v>
      </c>
      <c r="Q93" s="52">
        <v>125.56306840000001</v>
      </c>
      <c r="R93" s="52">
        <v>125.55148840000001</v>
      </c>
      <c r="S93" s="52">
        <v>125.5684784</v>
      </c>
      <c r="T93" s="52">
        <v>125.69982040000001</v>
      </c>
      <c r="U93" s="52">
        <v>129.5255654</v>
      </c>
      <c r="V93" s="52">
        <v>131.25104039999999</v>
      </c>
      <c r="W93" s="52">
        <v>134.80859839999999</v>
      </c>
      <c r="X93" s="52">
        <v>135.1434544</v>
      </c>
      <c r="Y93" s="52">
        <v>134.71305239999998</v>
      </c>
      <c r="Z93" s="52">
        <v>139.18459039999999</v>
      </c>
      <c r="AA93" s="52">
        <v>130.58273400000002</v>
      </c>
      <c r="AB93" s="52">
        <v>141.97498899999999</v>
      </c>
      <c r="AC93" s="52">
        <v>142.27499699999998</v>
      </c>
      <c r="AD93" s="52">
        <v>144.762269</v>
      </c>
      <c r="AE93" s="52">
        <v>145.21656400000001</v>
      </c>
    </row>
    <row r="94" spans="1:31" s="51" customFormat="1" ht="9" customHeight="1" x14ac:dyDescent="0.35">
      <c r="A94" s="57">
        <v>91</v>
      </c>
      <c r="B94" s="35"/>
      <c r="C94" s="35"/>
      <c r="D94" s="49"/>
      <c r="E94" s="49"/>
      <c r="F94" s="51">
        <v>0</v>
      </c>
      <c r="G94" s="51">
        <v>0</v>
      </c>
      <c r="H94" s="51">
        <v>0</v>
      </c>
      <c r="I94" s="51">
        <v>0</v>
      </c>
      <c r="J94" s="51">
        <v>0</v>
      </c>
      <c r="K94" s="51">
        <v>0</v>
      </c>
      <c r="L94" s="51">
        <v>0</v>
      </c>
      <c r="M94" s="51">
        <v>0</v>
      </c>
      <c r="N94" s="51">
        <v>0</v>
      </c>
      <c r="O94" s="51">
        <v>0</v>
      </c>
      <c r="P94" s="51">
        <v>0</v>
      </c>
      <c r="Q94" s="51">
        <v>0</v>
      </c>
      <c r="R94" s="51">
        <v>0</v>
      </c>
      <c r="S94" s="51">
        <v>0</v>
      </c>
      <c r="T94" s="51">
        <v>0</v>
      </c>
      <c r="U94" s="51">
        <v>0</v>
      </c>
      <c r="V94" s="51">
        <v>0</v>
      </c>
      <c r="W94" s="51">
        <v>0</v>
      </c>
      <c r="X94" s="51">
        <v>0</v>
      </c>
      <c r="Y94" s="51">
        <v>0</v>
      </c>
      <c r="Z94" s="51">
        <v>0</v>
      </c>
      <c r="AA94" s="51">
        <v>0</v>
      </c>
      <c r="AB94" s="51">
        <v>0</v>
      </c>
      <c r="AC94" s="51">
        <v>0</v>
      </c>
      <c r="AD94" s="51">
        <v>0</v>
      </c>
      <c r="AE94" s="51">
        <v>0</v>
      </c>
    </row>
    <row r="95" spans="1:31" s="51" customFormat="1" ht="35.15" customHeight="1" x14ac:dyDescent="0.45">
      <c r="A95" s="57">
        <v>92</v>
      </c>
      <c r="B95" s="50" t="s">
        <v>35</v>
      </c>
      <c r="C95" s="42"/>
      <c r="D95" s="42"/>
      <c r="E95" s="35"/>
    </row>
    <row r="96" spans="1:31" s="56" customFormat="1" ht="26.15" customHeight="1" x14ac:dyDescent="0.45">
      <c r="A96" s="57">
        <v>93</v>
      </c>
      <c r="B96" s="42"/>
      <c r="C96" s="44" t="s">
        <v>6</v>
      </c>
      <c r="D96" s="44"/>
      <c r="E96" s="35"/>
    </row>
    <row r="97" spans="1:31" s="52" customFormat="1" ht="18" customHeight="1" x14ac:dyDescent="0.35">
      <c r="A97" s="57">
        <v>94</v>
      </c>
      <c r="B97" s="35"/>
      <c r="C97" s="35"/>
      <c r="D97" s="45" t="s">
        <v>9</v>
      </c>
      <c r="E97" s="45" t="s">
        <v>30</v>
      </c>
      <c r="F97" s="52">
        <f t="shared" ref="F97:K97" si="202">F98+F99+F103+F104</f>
        <v>14329.645288669999</v>
      </c>
      <c r="G97" s="52">
        <f t="shared" si="202"/>
        <v>16009.150177269999</v>
      </c>
      <c r="H97" s="52">
        <f t="shared" si="202"/>
        <v>17926.700298979998</v>
      </c>
      <c r="I97" s="52">
        <f t="shared" si="202"/>
        <v>22354.416423210005</v>
      </c>
      <c r="J97" s="52">
        <f t="shared" si="202"/>
        <v>23887.600555479999</v>
      </c>
      <c r="K97" s="52">
        <f t="shared" si="202"/>
        <v>24478.981317360001</v>
      </c>
      <c r="L97" s="52">
        <f t="shared" ref="L97:AB97" si="203">L98+L99+L103+L104</f>
        <v>21178.882799199997</v>
      </c>
      <c r="M97" s="52">
        <f t="shared" si="203"/>
        <v>23269.141427469996</v>
      </c>
      <c r="N97" s="52">
        <f t="shared" si="203"/>
        <v>25838.163132199999</v>
      </c>
      <c r="O97" s="52">
        <f t="shared" si="203"/>
        <v>24566.347355470003</v>
      </c>
      <c r="P97" s="52">
        <f t="shared" si="203"/>
        <v>23730.231871609998</v>
      </c>
      <c r="Q97" s="52">
        <f t="shared" si="203"/>
        <v>25250.538566020001</v>
      </c>
      <c r="R97" s="52">
        <f t="shared" si="203"/>
        <v>25856.15268367</v>
      </c>
      <c r="S97" s="52">
        <f t="shared" si="203"/>
        <v>28311.415503759999</v>
      </c>
      <c r="T97" s="52">
        <f t="shared" si="203"/>
        <v>31322.464078779998</v>
      </c>
      <c r="U97" s="52">
        <f t="shared" si="203"/>
        <v>40591.616363130001</v>
      </c>
      <c r="V97" s="52">
        <f t="shared" si="203"/>
        <v>40587.744999120005</v>
      </c>
      <c r="W97" s="52">
        <f t="shared" si="203"/>
        <v>41381.280536399994</v>
      </c>
      <c r="X97" s="52">
        <f t="shared" si="203"/>
        <v>43078.966891119999</v>
      </c>
      <c r="Y97" s="52">
        <f t="shared" si="203"/>
        <v>42408.032656100004</v>
      </c>
      <c r="Z97" s="52">
        <f t="shared" si="203"/>
        <v>43810.698500190003</v>
      </c>
      <c r="AA97" s="52">
        <f t="shared" si="203"/>
        <v>43237.769830749989</v>
      </c>
      <c r="AB97" s="52">
        <f t="shared" si="203"/>
        <v>43706.930964319989</v>
      </c>
      <c r="AC97" s="52">
        <f t="shared" ref="AC97" si="204">AC98+AC99+AC103+AC104</f>
        <v>41418.529258310009</v>
      </c>
      <c r="AD97" s="52">
        <v>38447.928734119996</v>
      </c>
      <c r="AE97" s="52">
        <v>34881.942392860001</v>
      </c>
    </row>
    <row r="98" spans="1:31" s="54" customFormat="1" x14ac:dyDescent="0.35">
      <c r="A98" s="57">
        <v>95</v>
      </c>
      <c r="B98" s="35"/>
      <c r="C98" s="35"/>
      <c r="D98" s="46" t="s">
        <v>10</v>
      </c>
      <c r="E98" s="46" t="s">
        <v>18</v>
      </c>
      <c r="F98" s="54">
        <v>0</v>
      </c>
      <c r="G98" s="54">
        <v>0</v>
      </c>
      <c r="H98" s="54">
        <v>0</v>
      </c>
      <c r="I98" s="54">
        <v>0</v>
      </c>
      <c r="J98" s="54">
        <v>0</v>
      </c>
      <c r="K98" s="54">
        <v>0</v>
      </c>
      <c r="L98" s="54">
        <v>0</v>
      </c>
      <c r="M98" s="54">
        <v>0</v>
      </c>
      <c r="N98" s="54">
        <v>0</v>
      </c>
      <c r="O98" s="54">
        <v>0</v>
      </c>
      <c r="P98" s="54">
        <v>0</v>
      </c>
      <c r="Q98" s="54">
        <v>0</v>
      </c>
      <c r="R98" s="54">
        <v>0</v>
      </c>
      <c r="S98" s="54">
        <v>0</v>
      </c>
      <c r="T98" s="54">
        <v>0</v>
      </c>
      <c r="U98" s="54">
        <v>0</v>
      </c>
      <c r="V98" s="54">
        <v>0</v>
      </c>
      <c r="W98" s="54">
        <v>0</v>
      </c>
      <c r="X98" s="54">
        <v>0</v>
      </c>
      <c r="Y98" s="54">
        <v>0</v>
      </c>
      <c r="Z98" s="54">
        <v>0</v>
      </c>
      <c r="AA98" s="54">
        <v>0</v>
      </c>
      <c r="AB98" s="54">
        <v>0</v>
      </c>
      <c r="AC98" s="54">
        <v>0</v>
      </c>
      <c r="AD98" s="54">
        <v>0</v>
      </c>
      <c r="AE98" s="54">
        <v>0</v>
      </c>
    </row>
    <row r="99" spans="1:31" s="54" customFormat="1" x14ac:dyDescent="0.35">
      <c r="A99" s="57">
        <v>96</v>
      </c>
      <c r="B99" s="35"/>
      <c r="C99" s="35"/>
      <c r="D99" s="46" t="s">
        <v>11</v>
      </c>
      <c r="E99" s="46" t="s">
        <v>0</v>
      </c>
      <c r="F99" s="54">
        <f t="shared" ref="F99:K99" si="205">SUM(F100:F102)</f>
        <v>14329.645288669999</v>
      </c>
      <c r="G99" s="54">
        <f t="shared" si="205"/>
        <v>16009.150177269999</v>
      </c>
      <c r="H99" s="54">
        <f t="shared" si="205"/>
        <v>17926.700298979998</v>
      </c>
      <c r="I99" s="54">
        <f t="shared" si="205"/>
        <v>22354.416423210005</v>
      </c>
      <c r="J99" s="54">
        <f t="shared" si="205"/>
        <v>23887.600555479999</v>
      </c>
      <c r="K99" s="54">
        <f t="shared" si="205"/>
        <v>24478.981317360001</v>
      </c>
      <c r="L99" s="54">
        <f t="shared" ref="L99:AB99" si="206">SUM(L100:L102)</f>
        <v>21178.882799199997</v>
      </c>
      <c r="M99" s="54">
        <f t="shared" si="206"/>
        <v>23269.141427469996</v>
      </c>
      <c r="N99" s="54">
        <f t="shared" si="206"/>
        <v>25838.163132199999</v>
      </c>
      <c r="O99" s="54">
        <f t="shared" si="206"/>
        <v>24566.347355470003</v>
      </c>
      <c r="P99" s="54">
        <f t="shared" si="206"/>
        <v>23730.231871609998</v>
      </c>
      <c r="Q99" s="54">
        <f t="shared" si="206"/>
        <v>25250.538566020001</v>
      </c>
      <c r="R99" s="54">
        <f t="shared" si="206"/>
        <v>25856.15268367</v>
      </c>
      <c r="S99" s="54">
        <f t="shared" si="206"/>
        <v>28311.415503759999</v>
      </c>
      <c r="T99" s="54">
        <f t="shared" si="206"/>
        <v>31322.464078779998</v>
      </c>
      <c r="U99" s="54">
        <f t="shared" si="206"/>
        <v>40591.616363130001</v>
      </c>
      <c r="V99" s="54">
        <f t="shared" si="206"/>
        <v>40587.744999120005</v>
      </c>
      <c r="W99" s="54">
        <f t="shared" si="206"/>
        <v>41381.280536399994</v>
      </c>
      <c r="X99" s="54">
        <f t="shared" si="206"/>
        <v>43078.966891119999</v>
      </c>
      <c r="Y99" s="54">
        <f t="shared" si="206"/>
        <v>42408.032656100004</v>
      </c>
      <c r="Z99" s="54">
        <f t="shared" si="206"/>
        <v>43810.698500190003</v>
      </c>
      <c r="AA99" s="54">
        <f t="shared" si="206"/>
        <v>43237.769830749989</v>
      </c>
      <c r="AB99" s="54">
        <f t="shared" si="206"/>
        <v>43706.930964319989</v>
      </c>
      <c r="AC99" s="54">
        <f t="shared" ref="AC99" si="207">SUM(AC100:AC102)</f>
        <v>41418.529258310009</v>
      </c>
      <c r="AD99" s="54">
        <v>38447.928734119996</v>
      </c>
      <c r="AE99" s="54">
        <v>34881.942392860001</v>
      </c>
    </row>
    <row r="100" spans="1:31" s="55" customFormat="1" x14ac:dyDescent="0.35">
      <c r="A100" s="57">
        <v>97</v>
      </c>
      <c r="B100" s="35"/>
      <c r="C100" s="35"/>
      <c r="D100" s="47" t="s">
        <v>21</v>
      </c>
      <c r="E100" s="47" t="s">
        <v>20</v>
      </c>
      <c r="F100" s="55">
        <v>14329.645288669999</v>
      </c>
      <c r="G100" s="55">
        <v>16009.150177269999</v>
      </c>
      <c r="H100" s="55">
        <v>17926.700298979998</v>
      </c>
      <c r="I100" s="55">
        <v>22354.416423210005</v>
      </c>
      <c r="J100" s="55">
        <v>23887.600555479999</v>
      </c>
      <c r="K100" s="55">
        <v>24478.981317360001</v>
      </c>
      <c r="L100" s="55">
        <v>21178.882799199997</v>
      </c>
      <c r="M100" s="55">
        <v>23269.141427469996</v>
      </c>
      <c r="N100" s="55">
        <v>25838.163132199999</v>
      </c>
      <c r="O100" s="55">
        <v>24566.347355470003</v>
      </c>
      <c r="P100" s="55">
        <v>23730.231871609998</v>
      </c>
      <c r="Q100" s="55">
        <v>25250.538566020001</v>
      </c>
      <c r="R100" s="55">
        <v>25856.15268367</v>
      </c>
      <c r="S100" s="55">
        <v>28311.415503759999</v>
      </c>
      <c r="T100" s="55">
        <v>31322.464078779998</v>
      </c>
      <c r="U100" s="55">
        <v>40591.616363130001</v>
      </c>
      <c r="V100" s="55">
        <v>40587.744999120005</v>
      </c>
      <c r="W100" s="55">
        <v>41381.280536399994</v>
      </c>
      <c r="X100" s="55">
        <v>43078.966891119999</v>
      </c>
      <c r="Y100" s="55">
        <v>42408.032656100004</v>
      </c>
      <c r="Z100" s="55">
        <v>43810.698500190003</v>
      </c>
      <c r="AA100" s="55">
        <v>43237.769830749989</v>
      </c>
      <c r="AB100" s="55">
        <v>43706.930964319989</v>
      </c>
      <c r="AC100" s="55">
        <v>41418.529258310009</v>
      </c>
      <c r="AD100" s="55">
        <v>38447.928734119996</v>
      </c>
      <c r="AE100" s="55">
        <v>34881.942392860001</v>
      </c>
    </row>
    <row r="101" spans="1:31" s="55" customFormat="1" x14ac:dyDescent="0.35">
      <c r="A101" s="57">
        <v>98</v>
      </c>
      <c r="B101" s="35"/>
      <c r="C101" s="35"/>
      <c r="D101" s="47" t="s">
        <v>12</v>
      </c>
      <c r="E101" s="47" t="s">
        <v>22</v>
      </c>
      <c r="F101" s="55">
        <v>0</v>
      </c>
      <c r="G101" s="55">
        <v>0</v>
      </c>
      <c r="H101" s="55">
        <v>0</v>
      </c>
      <c r="I101" s="55">
        <v>0</v>
      </c>
      <c r="J101" s="55">
        <v>0</v>
      </c>
      <c r="K101" s="55">
        <v>0</v>
      </c>
      <c r="L101" s="55">
        <v>0</v>
      </c>
      <c r="M101" s="55">
        <v>0</v>
      </c>
      <c r="N101" s="55">
        <v>0</v>
      </c>
      <c r="O101" s="55">
        <v>0</v>
      </c>
      <c r="P101" s="55">
        <v>0</v>
      </c>
      <c r="Q101" s="55">
        <v>0</v>
      </c>
      <c r="R101" s="55">
        <v>0</v>
      </c>
      <c r="S101" s="55">
        <v>0</v>
      </c>
      <c r="T101" s="55">
        <v>0</v>
      </c>
      <c r="U101" s="55">
        <v>0</v>
      </c>
      <c r="V101" s="55">
        <v>0</v>
      </c>
      <c r="W101" s="55">
        <v>0</v>
      </c>
      <c r="X101" s="55">
        <v>0</v>
      </c>
      <c r="Y101" s="55">
        <v>0</v>
      </c>
      <c r="Z101" s="55">
        <v>0</v>
      </c>
      <c r="AA101" s="55">
        <v>0</v>
      </c>
      <c r="AB101" s="55">
        <v>0</v>
      </c>
      <c r="AC101" s="55">
        <v>0</v>
      </c>
      <c r="AD101" s="55">
        <v>0</v>
      </c>
      <c r="AE101" s="55">
        <v>0</v>
      </c>
    </row>
    <row r="102" spans="1:31" s="55" customFormat="1" x14ac:dyDescent="0.35">
      <c r="A102" s="57">
        <v>99</v>
      </c>
      <c r="B102" s="35"/>
      <c r="C102" s="35"/>
      <c r="D102" s="47" t="s">
        <v>13</v>
      </c>
      <c r="E102" s="47" t="s">
        <v>23</v>
      </c>
      <c r="F102" s="55">
        <v>0</v>
      </c>
      <c r="G102" s="55">
        <v>0</v>
      </c>
      <c r="H102" s="55">
        <v>0</v>
      </c>
      <c r="I102" s="55">
        <v>0</v>
      </c>
      <c r="J102" s="55">
        <v>0</v>
      </c>
      <c r="K102" s="55">
        <v>0</v>
      </c>
      <c r="L102" s="55">
        <v>0</v>
      </c>
      <c r="M102" s="55">
        <v>0</v>
      </c>
      <c r="N102" s="55">
        <v>0</v>
      </c>
      <c r="O102" s="55">
        <v>0</v>
      </c>
      <c r="P102" s="55">
        <v>0</v>
      </c>
      <c r="Q102" s="55">
        <v>0</v>
      </c>
      <c r="R102" s="55">
        <v>0</v>
      </c>
      <c r="S102" s="55">
        <v>0</v>
      </c>
      <c r="T102" s="55">
        <v>0</v>
      </c>
      <c r="U102" s="55">
        <v>0</v>
      </c>
      <c r="V102" s="55">
        <v>0</v>
      </c>
      <c r="W102" s="55">
        <v>0</v>
      </c>
      <c r="X102" s="55">
        <v>0</v>
      </c>
      <c r="Y102" s="55">
        <v>0</v>
      </c>
      <c r="Z102" s="55">
        <v>0</v>
      </c>
      <c r="AA102" s="55">
        <v>0</v>
      </c>
      <c r="AB102" s="55">
        <v>0</v>
      </c>
      <c r="AC102" s="55">
        <v>0</v>
      </c>
      <c r="AD102" s="55">
        <v>0</v>
      </c>
      <c r="AE102" s="55">
        <v>0</v>
      </c>
    </row>
    <row r="103" spans="1:31" s="55" customFormat="1" x14ac:dyDescent="0.35">
      <c r="A103" s="57">
        <v>100</v>
      </c>
      <c r="B103" s="35"/>
      <c r="C103" s="35"/>
      <c r="D103" s="46" t="s">
        <v>14</v>
      </c>
      <c r="E103" s="46" t="s">
        <v>24</v>
      </c>
      <c r="F103" s="55">
        <v>0</v>
      </c>
      <c r="G103" s="55">
        <v>0</v>
      </c>
      <c r="H103" s="55">
        <v>0</v>
      </c>
      <c r="I103" s="55">
        <v>0</v>
      </c>
      <c r="J103" s="55">
        <v>0</v>
      </c>
      <c r="K103" s="55">
        <v>0</v>
      </c>
      <c r="L103" s="55">
        <v>0</v>
      </c>
      <c r="M103" s="55">
        <v>0</v>
      </c>
      <c r="N103" s="55">
        <v>0</v>
      </c>
      <c r="O103" s="55">
        <v>0</v>
      </c>
      <c r="P103" s="55">
        <v>0</v>
      </c>
      <c r="Q103" s="55">
        <v>0</v>
      </c>
      <c r="R103" s="55">
        <v>0</v>
      </c>
      <c r="S103" s="55">
        <v>0</v>
      </c>
      <c r="T103" s="55">
        <v>0</v>
      </c>
      <c r="U103" s="55">
        <v>0</v>
      </c>
      <c r="V103" s="55">
        <v>0</v>
      </c>
      <c r="W103" s="55">
        <v>0</v>
      </c>
      <c r="X103" s="55">
        <v>0</v>
      </c>
      <c r="Y103" s="55">
        <v>0</v>
      </c>
      <c r="Z103" s="55">
        <v>0</v>
      </c>
      <c r="AA103" s="55">
        <v>0</v>
      </c>
      <c r="AB103" s="55">
        <v>0</v>
      </c>
      <c r="AC103" s="55">
        <v>0</v>
      </c>
      <c r="AD103" s="55">
        <v>0</v>
      </c>
      <c r="AE103" s="55">
        <v>0</v>
      </c>
    </row>
    <row r="104" spans="1:31" s="55" customFormat="1" x14ac:dyDescent="0.35">
      <c r="A104" s="57">
        <v>101</v>
      </c>
      <c r="B104" s="35"/>
      <c r="C104" s="35"/>
      <c r="D104" s="46" t="s">
        <v>25</v>
      </c>
      <c r="E104" s="46" t="s">
        <v>26</v>
      </c>
      <c r="F104" s="55">
        <v>0</v>
      </c>
      <c r="G104" s="55">
        <v>0</v>
      </c>
      <c r="H104" s="55">
        <v>0</v>
      </c>
      <c r="I104" s="55">
        <v>0</v>
      </c>
      <c r="J104" s="55">
        <v>0</v>
      </c>
      <c r="K104" s="55">
        <v>0</v>
      </c>
      <c r="L104" s="55">
        <v>0</v>
      </c>
      <c r="M104" s="55">
        <v>0</v>
      </c>
      <c r="N104" s="55">
        <v>0</v>
      </c>
      <c r="O104" s="55">
        <v>0</v>
      </c>
      <c r="P104" s="55">
        <v>0</v>
      </c>
      <c r="Q104" s="55">
        <v>0</v>
      </c>
      <c r="R104" s="55">
        <v>0</v>
      </c>
      <c r="S104" s="55">
        <v>0</v>
      </c>
      <c r="T104" s="55">
        <v>0</v>
      </c>
      <c r="U104" s="55">
        <v>0</v>
      </c>
      <c r="V104" s="55">
        <v>0</v>
      </c>
      <c r="W104" s="55">
        <v>0</v>
      </c>
      <c r="X104" s="55">
        <v>0</v>
      </c>
      <c r="Y104" s="55">
        <v>0</v>
      </c>
      <c r="Z104" s="55">
        <v>0</v>
      </c>
      <c r="AA104" s="55">
        <v>0</v>
      </c>
      <c r="AB104" s="55">
        <v>0</v>
      </c>
      <c r="AC104" s="55">
        <v>0</v>
      </c>
      <c r="AD104" s="55">
        <v>0</v>
      </c>
      <c r="AE104" s="55">
        <v>0</v>
      </c>
    </row>
    <row r="105" spans="1:31" s="52" customFormat="1" ht="15.5" x14ac:dyDescent="0.35">
      <c r="A105" s="57">
        <v>102</v>
      </c>
      <c r="B105" s="35"/>
      <c r="C105" s="35"/>
      <c r="D105" s="45" t="s">
        <v>15</v>
      </c>
      <c r="E105" s="45" t="s">
        <v>17</v>
      </c>
      <c r="F105" s="52">
        <v>24981.849680615902</v>
      </c>
      <c r="G105" s="52">
        <v>30031.70821524</v>
      </c>
      <c r="H105" s="52">
        <v>36886.525407000001</v>
      </c>
      <c r="I105" s="52">
        <v>36147.432854140003</v>
      </c>
      <c r="J105" s="52">
        <v>35654.186336750005</v>
      </c>
      <c r="K105" s="52">
        <v>35849.522469659998</v>
      </c>
      <c r="L105" s="52">
        <v>40279.832961970002</v>
      </c>
      <c r="M105" s="52">
        <v>40066.90893677</v>
      </c>
      <c r="N105" s="52">
        <v>43844.033077299995</v>
      </c>
      <c r="O105" s="52">
        <v>43075.180858170002</v>
      </c>
      <c r="P105" s="52">
        <v>45016.906032199993</v>
      </c>
      <c r="Q105" s="52">
        <v>46927.211690870005</v>
      </c>
      <c r="R105" s="52">
        <v>51476.783001189993</v>
      </c>
      <c r="S105" s="52">
        <v>43012.04421593</v>
      </c>
      <c r="T105" s="52">
        <v>42190.529407449998</v>
      </c>
      <c r="U105" s="52">
        <v>50155.557901859996</v>
      </c>
      <c r="V105" s="52">
        <v>41377.106988440006</v>
      </c>
      <c r="W105" s="52">
        <v>33964.626968240002</v>
      </c>
      <c r="X105" s="52">
        <v>31893.918735205301</v>
      </c>
      <c r="Y105" s="52">
        <v>28210.345345896203</v>
      </c>
      <c r="Z105" s="52">
        <v>32393.405875263601</v>
      </c>
      <c r="AA105" s="52">
        <v>28218.990960320996</v>
      </c>
      <c r="AB105" s="52">
        <v>28059.831892375001</v>
      </c>
      <c r="AC105" s="52">
        <v>31951.355553266498</v>
      </c>
      <c r="AD105" s="52">
        <v>33550.323232511204</v>
      </c>
      <c r="AE105" s="52">
        <v>33681.25219349</v>
      </c>
    </row>
    <row r="106" spans="1:31" s="51" customFormat="1" ht="9" customHeight="1" x14ac:dyDescent="0.35">
      <c r="A106" s="57">
        <v>103</v>
      </c>
      <c r="B106" s="35"/>
      <c r="C106" s="35"/>
      <c r="D106" s="49"/>
      <c r="E106" s="49"/>
      <c r="F106" s="51">
        <v>0</v>
      </c>
      <c r="G106" s="51">
        <v>0</v>
      </c>
      <c r="H106" s="51">
        <v>0</v>
      </c>
      <c r="I106" s="51">
        <v>0</v>
      </c>
      <c r="J106" s="51">
        <v>0</v>
      </c>
      <c r="K106" s="51">
        <v>0</v>
      </c>
      <c r="L106" s="51">
        <v>0</v>
      </c>
      <c r="M106" s="51">
        <v>0</v>
      </c>
      <c r="N106" s="51">
        <v>0</v>
      </c>
      <c r="O106" s="51">
        <v>0</v>
      </c>
      <c r="P106" s="51">
        <v>0</v>
      </c>
      <c r="Q106" s="51">
        <v>0</v>
      </c>
      <c r="R106" s="51">
        <v>0</v>
      </c>
      <c r="S106" s="51">
        <v>0</v>
      </c>
      <c r="T106" s="51">
        <v>0</v>
      </c>
      <c r="U106" s="51">
        <v>0</v>
      </c>
      <c r="V106" s="51">
        <v>0</v>
      </c>
      <c r="W106" s="51">
        <v>0</v>
      </c>
      <c r="X106" s="51">
        <v>0</v>
      </c>
      <c r="Y106" s="51">
        <v>0</v>
      </c>
      <c r="Z106" s="51">
        <v>0</v>
      </c>
      <c r="AA106" s="51">
        <v>0</v>
      </c>
      <c r="AB106" s="51">
        <v>0</v>
      </c>
      <c r="AC106" s="51">
        <v>0</v>
      </c>
      <c r="AD106" s="51">
        <v>0</v>
      </c>
      <c r="AE106" s="51">
        <v>0</v>
      </c>
    </row>
    <row r="107" spans="1:31" s="56" customFormat="1" ht="26.15" customHeight="1" x14ac:dyDescent="0.45">
      <c r="A107" s="57">
        <v>104</v>
      </c>
      <c r="B107" s="42"/>
      <c r="C107" s="44" t="s">
        <v>7</v>
      </c>
      <c r="D107" s="44"/>
      <c r="E107" s="35"/>
    </row>
    <row r="108" spans="1:31" s="52" customFormat="1" ht="18" customHeight="1" x14ac:dyDescent="0.35">
      <c r="A108" s="57">
        <v>105</v>
      </c>
      <c r="B108" s="35"/>
      <c r="C108" s="35"/>
      <c r="D108" s="45" t="s">
        <v>9</v>
      </c>
      <c r="E108" s="45" t="s">
        <v>30</v>
      </c>
      <c r="F108" s="52">
        <f t="shared" ref="F108:K108" si="208">F109+F110+F114+F115</f>
        <v>6954.6941582700001</v>
      </c>
      <c r="G108" s="52">
        <f t="shared" si="208"/>
        <v>26543.862677364283</v>
      </c>
      <c r="H108" s="52">
        <f t="shared" si="208"/>
        <v>30587.654754895713</v>
      </c>
      <c r="I108" s="52">
        <f t="shared" si="208"/>
        <v>28129.851679631429</v>
      </c>
      <c r="J108" s="52">
        <f t="shared" si="208"/>
        <v>26997.918654680001</v>
      </c>
      <c r="K108" s="52">
        <f t="shared" si="208"/>
        <v>25664.06660618</v>
      </c>
      <c r="L108" s="52">
        <f t="shared" ref="L108:AB108" si="209">L109+L110+L114+L115</f>
        <v>29969.886318450001</v>
      </c>
      <c r="M108" s="52">
        <f t="shared" si="209"/>
        <v>31560.354991819997</v>
      </c>
      <c r="N108" s="52">
        <f t="shared" si="209"/>
        <v>33178.818040950006</v>
      </c>
      <c r="O108" s="52">
        <f t="shared" si="209"/>
        <v>34397.885590940001</v>
      </c>
      <c r="P108" s="52">
        <f t="shared" si="209"/>
        <v>35836.755709099998</v>
      </c>
      <c r="Q108" s="52">
        <f t="shared" si="209"/>
        <v>33582.014136040001</v>
      </c>
      <c r="R108" s="52">
        <f t="shared" si="209"/>
        <v>33602.872475190001</v>
      </c>
      <c r="S108" s="52">
        <f t="shared" si="209"/>
        <v>29925.339426779999</v>
      </c>
      <c r="T108" s="52">
        <f t="shared" si="209"/>
        <v>29158.024845930002</v>
      </c>
      <c r="U108" s="52">
        <f t="shared" si="209"/>
        <v>28590.829700390001</v>
      </c>
      <c r="V108" s="52">
        <f t="shared" si="209"/>
        <v>34541.361521159997</v>
      </c>
      <c r="W108" s="52">
        <f t="shared" si="209"/>
        <v>40414.932822850002</v>
      </c>
      <c r="X108" s="52">
        <f t="shared" si="209"/>
        <v>42579.272796200006</v>
      </c>
      <c r="Y108" s="52">
        <f t="shared" si="209"/>
        <v>41239.290103929998</v>
      </c>
      <c r="Z108" s="52">
        <f t="shared" si="209"/>
        <v>44572.616215419999</v>
      </c>
      <c r="AA108" s="52">
        <f t="shared" si="209"/>
        <v>46496.682196680005</v>
      </c>
      <c r="AB108" s="52">
        <f t="shared" si="209"/>
        <v>43533.006310259996</v>
      </c>
      <c r="AC108" s="52">
        <f t="shared" ref="AC108" si="210">AC109+AC110+AC114+AC115</f>
        <v>44437.024808019996</v>
      </c>
      <c r="AD108" s="52">
        <v>45897.908422190005</v>
      </c>
      <c r="AE108" s="52">
        <v>44561.889952760001</v>
      </c>
    </row>
    <row r="109" spans="1:31" s="55" customFormat="1" x14ac:dyDescent="0.35">
      <c r="A109" s="57">
        <v>106</v>
      </c>
      <c r="B109" s="35"/>
      <c r="C109" s="35"/>
      <c r="D109" s="46" t="s">
        <v>10</v>
      </c>
      <c r="E109" s="46" t="s">
        <v>18</v>
      </c>
      <c r="F109" s="55">
        <v>0</v>
      </c>
      <c r="G109" s="55">
        <v>0</v>
      </c>
      <c r="H109" s="55">
        <v>41.393977</v>
      </c>
      <c r="I109" s="55">
        <v>37.466225999999999</v>
      </c>
      <c r="J109" s="55">
        <v>46.133911000000005</v>
      </c>
      <c r="K109" s="55">
        <v>40.097306000000003</v>
      </c>
      <c r="L109" s="55">
        <v>31.320042999999998</v>
      </c>
      <c r="M109" s="55">
        <v>23.702021999999999</v>
      </c>
      <c r="N109" s="55">
        <v>18.638332999999999</v>
      </c>
      <c r="O109" s="55">
        <v>13.822951999999999</v>
      </c>
      <c r="P109" s="55">
        <v>8.3758779999999984</v>
      </c>
      <c r="Q109" s="55">
        <v>30.639941</v>
      </c>
      <c r="R109" s="55">
        <v>26.316430999999998</v>
      </c>
      <c r="S109" s="55">
        <v>20.767665999999998</v>
      </c>
      <c r="T109" s="55">
        <v>18.350002</v>
      </c>
      <c r="U109" s="55">
        <v>18.063217999999999</v>
      </c>
      <c r="V109" s="55">
        <v>14.845611999999999</v>
      </c>
      <c r="W109" s="55">
        <v>11.803726999999999</v>
      </c>
      <c r="X109" s="55">
        <v>9.2794568399999999</v>
      </c>
      <c r="Y109" s="55">
        <v>6.7918532699999998</v>
      </c>
      <c r="Z109" s="55">
        <v>4.1860906400000006</v>
      </c>
      <c r="AA109" s="55">
        <v>1.8860719100000001</v>
      </c>
      <c r="AB109" s="55">
        <v>1.34E-4</v>
      </c>
      <c r="AC109" s="55">
        <v>1.34E-4</v>
      </c>
      <c r="AD109" s="55">
        <v>1.34E-4</v>
      </c>
      <c r="AE109" s="55">
        <v>1.34E-4</v>
      </c>
    </row>
    <row r="110" spans="1:31" s="54" customFormat="1" x14ac:dyDescent="0.35">
      <c r="A110" s="57">
        <v>107</v>
      </c>
      <c r="B110" s="35"/>
      <c r="C110" s="35"/>
      <c r="D110" s="46" t="s">
        <v>11</v>
      </c>
      <c r="E110" s="46" t="s">
        <v>0</v>
      </c>
      <c r="F110" s="54">
        <f t="shared" ref="F110:K110" si="211">SUM(F111:F113)</f>
        <v>614.44510571000001</v>
      </c>
      <c r="G110" s="54">
        <f t="shared" si="211"/>
        <v>5810.8465472642856</v>
      </c>
      <c r="H110" s="54">
        <f t="shared" si="211"/>
        <v>8929.2052938557135</v>
      </c>
      <c r="I110" s="54">
        <f t="shared" si="211"/>
        <v>6141.9042716914291</v>
      </c>
      <c r="J110" s="54">
        <f t="shared" si="211"/>
        <v>5402.9735921000001</v>
      </c>
      <c r="K110" s="54">
        <f t="shared" si="211"/>
        <v>3373.4703486999997</v>
      </c>
      <c r="L110" s="54">
        <f t="shared" ref="L110:AB110" si="212">SUM(L111:L113)</f>
        <v>5467.8659062599991</v>
      </c>
      <c r="M110" s="54">
        <f t="shared" si="212"/>
        <v>5463.8205637699994</v>
      </c>
      <c r="N110" s="54">
        <f t="shared" si="212"/>
        <v>6383.3075630800004</v>
      </c>
      <c r="O110" s="54">
        <f t="shared" si="212"/>
        <v>5379.0185826600009</v>
      </c>
      <c r="P110" s="54">
        <f t="shared" si="212"/>
        <v>4419.3225523099991</v>
      </c>
      <c r="Q110" s="54">
        <f t="shared" si="212"/>
        <v>3584.38457733</v>
      </c>
      <c r="R110" s="54">
        <f t="shared" si="212"/>
        <v>3703.8270586899998</v>
      </c>
      <c r="S110" s="54">
        <f t="shared" si="212"/>
        <v>1258.6147557699999</v>
      </c>
      <c r="T110" s="54">
        <f t="shared" si="212"/>
        <v>1706.4006995299999</v>
      </c>
      <c r="U110" s="54">
        <f t="shared" si="212"/>
        <v>1060.50469492</v>
      </c>
      <c r="V110" s="54">
        <f t="shared" si="212"/>
        <v>6616.8460480399999</v>
      </c>
      <c r="W110" s="54">
        <f t="shared" si="212"/>
        <v>11599.622110079999</v>
      </c>
      <c r="X110" s="54">
        <f t="shared" si="212"/>
        <v>11705.752338190001</v>
      </c>
      <c r="Y110" s="54">
        <f t="shared" si="212"/>
        <v>7160.1985586199999</v>
      </c>
      <c r="Z110" s="54">
        <f t="shared" si="212"/>
        <v>11179.999272659999</v>
      </c>
      <c r="AA110" s="54">
        <f t="shared" si="212"/>
        <v>10923.607609030001</v>
      </c>
      <c r="AB110" s="54">
        <f t="shared" si="212"/>
        <v>6533.4874036800002</v>
      </c>
      <c r="AC110" s="54">
        <f t="shared" ref="AC110" si="213">SUM(AC111:AC113)</f>
        <v>9131.900991970002</v>
      </c>
      <c r="AD110" s="54">
        <v>9767.6056998200002</v>
      </c>
      <c r="AE110" s="54">
        <v>6823.4345765299995</v>
      </c>
    </row>
    <row r="111" spans="1:31" s="55" customFormat="1" x14ac:dyDescent="0.35">
      <c r="A111" s="57">
        <v>108</v>
      </c>
      <c r="B111" s="35"/>
      <c r="C111" s="35"/>
      <c r="D111" s="47" t="s">
        <v>21</v>
      </c>
      <c r="E111" s="47" t="s">
        <v>20</v>
      </c>
      <c r="F111" s="55">
        <v>614.44510571000001</v>
      </c>
      <c r="G111" s="55">
        <v>5810.8465472642856</v>
      </c>
      <c r="H111" s="55">
        <v>8929.2052938557135</v>
      </c>
      <c r="I111" s="55">
        <v>6141.9042716914291</v>
      </c>
      <c r="J111" s="55">
        <v>5402.9735891</v>
      </c>
      <c r="K111" s="55">
        <v>3373.4703486999997</v>
      </c>
      <c r="L111" s="55">
        <v>5467.8659062599991</v>
      </c>
      <c r="M111" s="55">
        <v>5463.8205637699994</v>
      </c>
      <c r="N111" s="55">
        <v>6383.3075630800004</v>
      </c>
      <c r="O111" s="55">
        <v>5379.0185826600009</v>
      </c>
      <c r="P111" s="55">
        <v>4419.3225523099991</v>
      </c>
      <c r="Q111" s="55">
        <v>3584.38457733</v>
      </c>
      <c r="R111" s="55">
        <v>3703.8270586899998</v>
      </c>
      <c r="S111" s="55">
        <v>1258.6147557699999</v>
      </c>
      <c r="T111" s="55">
        <v>1706.4006995299999</v>
      </c>
      <c r="U111" s="55">
        <v>1060.50469492</v>
      </c>
      <c r="V111" s="55">
        <v>6616.8460480399999</v>
      </c>
      <c r="W111" s="55">
        <v>11599.622110079999</v>
      </c>
      <c r="X111" s="55">
        <v>11705.752338190001</v>
      </c>
      <c r="Y111" s="55">
        <v>7160.1985586199999</v>
      </c>
      <c r="Z111" s="55">
        <v>11179.999272659999</v>
      </c>
      <c r="AA111" s="55">
        <v>10923.607609030001</v>
      </c>
      <c r="AB111" s="55">
        <v>6533.4874036800002</v>
      </c>
      <c r="AC111" s="55">
        <v>9131.900991970002</v>
      </c>
      <c r="AD111" s="55">
        <v>9767.6056998200002</v>
      </c>
      <c r="AE111" s="55">
        <v>6823.4345765299995</v>
      </c>
    </row>
    <row r="112" spans="1:31" s="55" customFormat="1" x14ac:dyDescent="0.35">
      <c r="A112" s="57">
        <v>109</v>
      </c>
      <c r="B112" s="35"/>
      <c r="C112" s="35"/>
      <c r="D112" s="47" t="s">
        <v>12</v>
      </c>
      <c r="E112" s="47" t="s">
        <v>22</v>
      </c>
      <c r="F112" s="55">
        <v>0</v>
      </c>
      <c r="G112" s="55">
        <v>0</v>
      </c>
      <c r="H112" s="55">
        <v>0</v>
      </c>
      <c r="I112" s="55">
        <v>0</v>
      </c>
      <c r="J112" s="55">
        <v>3.0000000000000005E-6</v>
      </c>
      <c r="K112" s="55">
        <v>0</v>
      </c>
      <c r="L112" s="55">
        <v>0</v>
      </c>
      <c r="M112" s="55">
        <v>0</v>
      </c>
      <c r="N112" s="55">
        <v>0</v>
      </c>
      <c r="O112" s="55">
        <v>0</v>
      </c>
      <c r="P112" s="55">
        <v>0</v>
      </c>
      <c r="Q112" s="55">
        <v>0</v>
      </c>
      <c r="R112" s="55">
        <v>0</v>
      </c>
      <c r="S112" s="55">
        <v>0</v>
      </c>
      <c r="T112" s="55">
        <v>0</v>
      </c>
      <c r="U112" s="55">
        <v>0</v>
      </c>
      <c r="V112" s="55">
        <v>0</v>
      </c>
      <c r="W112" s="55">
        <v>0</v>
      </c>
      <c r="X112" s="55">
        <v>0</v>
      </c>
      <c r="Y112" s="55">
        <v>0</v>
      </c>
      <c r="Z112" s="55">
        <v>0</v>
      </c>
      <c r="AA112" s="55">
        <v>0</v>
      </c>
      <c r="AB112" s="55">
        <v>0</v>
      </c>
      <c r="AC112" s="55">
        <v>0</v>
      </c>
      <c r="AD112" s="55">
        <v>0</v>
      </c>
      <c r="AE112" s="55">
        <v>0</v>
      </c>
    </row>
    <row r="113" spans="1:31" s="55" customFormat="1" x14ac:dyDescent="0.35">
      <c r="A113" s="57">
        <v>110</v>
      </c>
      <c r="B113" s="35"/>
      <c r="C113" s="35"/>
      <c r="D113" s="47" t="s">
        <v>13</v>
      </c>
      <c r="E113" s="47" t="s">
        <v>23</v>
      </c>
      <c r="F113" s="55">
        <v>0</v>
      </c>
      <c r="G113" s="55">
        <v>0</v>
      </c>
      <c r="H113" s="55">
        <v>0</v>
      </c>
      <c r="I113" s="55">
        <v>0</v>
      </c>
      <c r="J113" s="55">
        <v>0</v>
      </c>
      <c r="K113" s="55">
        <v>0</v>
      </c>
      <c r="L113" s="55">
        <v>0</v>
      </c>
      <c r="M113" s="55">
        <v>0</v>
      </c>
      <c r="N113" s="55">
        <v>0</v>
      </c>
      <c r="O113" s="55">
        <v>0</v>
      </c>
      <c r="P113" s="55">
        <v>0</v>
      </c>
      <c r="Q113" s="55">
        <v>0</v>
      </c>
      <c r="R113" s="55">
        <v>0</v>
      </c>
      <c r="S113" s="55">
        <v>0</v>
      </c>
      <c r="T113" s="55">
        <v>0</v>
      </c>
      <c r="U113" s="55">
        <v>0</v>
      </c>
      <c r="V113" s="55">
        <v>0</v>
      </c>
      <c r="W113" s="55">
        <v>0</v>
      </c>
      <c r="X113" s="55">
        <v>0</v>
      </c>
      <c r="Y113" s="55">
        <v>0</v>
      </c>
      <c r="Z113" s="55">
        <v>0</v>
      </c>
      <c r="AA113" s="55">
        <v>0</v>
      </c>
      <c r="AB113" s="55">
        <v>0</v>
      </c>
      <c r="AC113" s="55">
        <v>0</v>
      </c>
      <c r="AD113" s="55">
        <v>0</v>
      </c>
      <c r="AE113" s="55">
        <v>0</v>
      </c>
    </row>
    <row r="114" spans="1:31" s="54" customFormat="1" x14ac:dyDescent="0.35">
      <c r="A114" s="57">
        <v>111</v>
      </c>
      <c r="B114" s="35"/>
      <c r="C114" s="35"/>
      <c r="D114" s="46" t="s">
        <v>1</v>
      </c>
      <c r="E114" s="46" t="s">
        <v>24</v>
      </c>
      <c r="F114" s="54">
        <v>6340.2490525599997</v>
      </c>
      <c r="G114" s="54">
        <v>20733.016130099997</v>
      </c>
      <c r="H114" s="54">
        <v>21617.05548404</v>
      </c>
      <c r="I114" s="54">
        <v>21950.481181939998</v>
      </c>
      <c r="J114" s="54">
        <v>21548.811151580001</v>
      </c>
      <c r="K114" s="54">
        <v>22250.49895148</v>
      </c>
      <c r="L114" s="54">
        <v>24470.700369190003</v>
      </c>
      <c r="M114" s="54">
        <v>26072.832406049998</v>
      </c>
      <c r="N114" s="54">
        <v>26776.872144870002</v>
      </c>
      <c r="O114" s="54">
        <v>29005.044056279999</v>
      </c>
      <c r="P114" s="54">
        <v>31409.057278790002</v>
      </c>
      <c r="Q114" s="54">
        <v>29966.989617710002</v>
      </c>
      <c r="R114" s="54">
        <v>29872.728985499998</v>
      </c>
      <c r="S114" s="54">
        <v>28645.957005010001</v>
      </c>
      <c r="T114" s="54">
        <v>27433.274144400002</v>
      </c>
      <c r="U114" s="54">
        <v>27512.261787470001</v>
      </c>
      <c r="V114" s="54">
        <v>27909.669861120001</v>
      </c>
      <c r="W114" s="54">
        <v>28803.50698577</v>
      </c>
      <c r="X114" s="54">
        <v>30864.241001170001</v>
      </c>
      <c r="Y114" s="54">
        <v>34072.299692039996</v>
      </c>
      <c r="Z114" s="54">
        <v>33388.43085212</v>
      </c>
      <c r="AA114" s="54">
        <v>35571.188515740003</v>
      </c>
      <c r="AB114" s="54">
        <v>36999.518772579999</v>
      </c>
      <c r="AC114" s="54">
        <v>35305.123682049998</v>
      </c>
      <c r="AD114" s="54">
        <v>36130.302588370003</v>
      </c>
      <c r="AE114" s="54">
        <v>37738.455242230004</v>
      </c>
    </row>
    <row r="115" spans="1:31" s="54" customFormat="1" x14ac:dyDescent="0.35">
      <c r="A115" s="57">
        <v>112</v>
      </c>
      <c r="B115" s="35"/>
      <c r="C115" s="35"/>
      <c r="D115" s="46" t="s">
        <v>25</v>
      </c>
      <c r="E115" s="46" t="s">
        <v>26</v>
      </c>
      <c r="F115" s="54">
        <v>0</v>
      </c>
      <c r="G115" s="54">
        <v>0</v>
      </c>
      <c r="H115" s="54">
        <v>0</v>
      </c>
      <c r="I115" s="54">
        <v>0</v>
      </c>
      <c r="J115" s="54">
        <v>0</v>
      </c>
      <c r="K115" s="54">
        <v>0</v>
      </c>
      <c r="L115" s="54">
        <v>0</v>
      </c>
      <c r="M115" s="54">
        <v>0</v>
      </c>
      <c r="N115" s="54">
        <v>0</v>
      </c>
      <c r="O115" s="54">
        <v>0</v>
      </c>
      <c r="P115" s="54">
        <v>0</v>
      </c>
      <c r="Q115" s="54">
        <v>0</v>
      </c>
      <c r="R115" s="54">
        <v>0</v>
      </c>
      <c r="S115" s="54">
        <v>0</v>
      </c>
      <c r="T115" s="54">
        <v>0</v>
      </c>
      <c r="U115" s="54">
        <v>0</v>
      </c>
      <c r="V115" s="54">
        <v>0</v>
      </c>
      <c r="W115" s="54">
        <v>0</v>
      </c>
      <c r="X115" s="54">
        <v>0</v>
      </c>
      <c r="Y115" s="54">
        <v>0</v>
      </c>
      <c r="Z115" s="54">
        <v>0</v>
      </c>
      <c r="AA115" s="54">
        <v>0</v>
      </c>
      <c r="AB115" s="54">
        <v>0</v>
      </c>
      <c r="AC115" s="54">
        <v>0</v>
      </c>
      <c r="AD115" s="54">
        <v>0</v>
      </c>
      <c r="AE115" s="54">
        <v>0</v>
      </c>
    </row>
    <row r="116" spans="1:31" s="52" customFormat="1" ht="15.5" x14ac:dyDescent="0.35">
      <c r="A116" s="57">
        <v>113</v>
      </c>
      <c r="B116" s="35"/>
      <c r="C116" s="35"/>
      <c r="D116" s="45" t="s">
        <v>15</v>
      </c>
      <c r="E116" s="45" t="s">
        <v>17</v>
      </c>
      <c r="F116" s="52">
        <v>19448.952904000002</v>
      </c>
      <c r="G116" s="52">
        <v>23918.563555569999</v>
      </c>
      <c r="H116" s="52">
        <v>22917.314072999998</v>
      </c>
      <c r="I116" s="52">
        <v>26614.792761910001</v>
      </c>
      <c r="J116" s="52">
        <v>29220.23563879</v>
      </c>
      <c r="K116" s="52">
        <v>31039.053530669993</v>
      </c>
      <c r="L116" s="52">
        <v>29484.675687390001</v>
      </c>
      <c r="M116" s="52">
        <v>30677.262092109999</v>
      </c>
      <c r="N116" s="52">
        <v>33150.162280419994</v>
      </c>
      <c r="O116" s="52">
        <v>35320.866999419995</v>
      </c>
      <c r="P116" s="52">
        <v>35311.433731340003</v>
      </c>
      <c r="Q116" s="52">
        <v>32991.976455469994</v>
      </c>
      <c r="R116" s="52">
        <v>32862.839745409998</v>
      </c>
      <c r="S116" s="52">
        <v>34044.890764359996</v>
      </c>
      <c r="T116" s="52">
        <v>39235.02167485001</v>
      </c>
      <c r="U116" s="52">
        <v>40318.174166730001</v>
      </c>
      <c r="V116" s="52">
        <v>51846.945110109998</v>
      </c>
      <c r="W116" s="52">
        <v>60275.385332380007</v>
      </c>
      <c r="X116" s="52">
        <v>66375.66793144001</v>
      </c>
      <c r="Y116" s="52">
        <v>70891.707826019992</v>
      </c>
      <c r="Z116" s="52">
        <v>75145.321589839994</v>
      </c>
      <c r="AA116" s="52">
        <v>80930.671387079972</v>
      </c>
      <c r="AB116" s="52">
        <v>81577.943859160019</v>
      </c>
      <c r="AC116" s="52">
        <v>82931.310823319989</v>
      </c>
      <c r="AD116" s="52">
        <v>85976.370545290003</v>
      </c>
      <c r="AE116" s="52">
        <v>82482.644111989983</v>
      </c>
    </row>
    <row r="117" spans="1:31" s="51" customFormat="1" ht="17.25" customHeight="1" x14ac:dyDescent="0.35">
      <c r="A117" s="57">
        <v>114</v>
      </c>
      <c r="B117" s="35"/>
      <c r="C117" s="35"/>
      <c r="D117" s="49"/>
      <c r="E117" s="49"/>
      <c r="F117" s="51">
        <v>0</v>
      </c>
      <c r="G117" s="51">
        <v>0</v>
      </c>
      <c r="H117" s="51">
        <v>0</v>
      </c>
      <c r="I117" s="51">
        <v>0</v>
      </c>
      <c r="J117" s="51">
        <v>0</v>
      </c>
      <c r="K117" s="51">
        <v>0</v>
      </c>
      <c r="L117" s="51">
        <v>0</v>
      </c>
      <c r="M117" s="51">
        <v>0</v>
      </c>
      <c r="N117" s="51">
        <v>0</v>
      </c>
      <c r="O117" s="51">
        <v>0</v>
      </c>
      <c r="P117" s="51">
        <v>0</v>
      </c>
      <c r="Q117" s="51">
        <v>0</v>
      </c>
      <c r="R117" s="51">
        <v>0</v>
      </c>
      <c r="S117" s="51">
        <v>0</v>
      </c>
      <c r="T117" s="51">
        <v>0</v>
      </c>
      <c r="U117" s="51">
        <v>0</v>
      </c>
      <c r="V117" s="51">
        <v>0</v>
      </c>
      <c r="W117" s="51">
        <v>0</v>
      </c>
      <c r="X117" s="51">
        <v>0</v>
      </c>
      <c r="Y117" s="51">
        <v>0</v>
      </c>
      <c r="Z117" s="51">
        <v>0</v>
      </c>
      <c r="AA117" s="51">
        <v>0</v>
      </c>
      <c r="AB117" s="51">
        <v>0</v>
      </c>
      <c r="AC117" s="51">
        <v>0</v>
      </c>
      <c r="AD117" s="51">
        <v>0</v>
      </c>
      <c r="AE117" s="51">
        <v>0</v>
      </c>
    </row>
    <row r="118" spans="1:31" s="56" customFormat="1" ht="26.15" customHeight="1" x14ac:dyDescent="0.45">
      <c r="A118" s="57">
        <v>115</v>
      </c>
      <c r="B118" s="42"/>
      <c r="C118" s="44" t="s">
        <v>2</v>
      </c>
      <c r="D118" s="44"/>
      <c r="E118" s="35"/>
    </row>
    <row r="119" spans="1:31" s="52" customFormat="1" ht="18" customHeight="1" x14ac:dyDescent="0.35">
      <c r="A119" s="57">
        <v>116</v>
      </c>
      <c r="B119" s="35"/>
      <c r="C119" s="35"/>
      <c r="D119" s="45" t="s">
        <v>9</v>
      </c>
      <c r="E119" s="45" t="s">
        <v>30</v>
      </c>
      <c r="F119" s="52">
        <f t="shared" ref="F119:K119" si="214">F120+F121+F125+F126</f>
        <v>56407.042981487808</v>
      </c>
      <c r="G119" s="52">
        <f t="shared" si="214"/>
        <v>38948.266039978706</v>
      </c>
      <c r="H119" s="52">
        <f t="shared" si="214"/>
        <v>37537.990321279998</v>
      </c>
      <c r="I119" s="52">
        <f t="shared" si="214"/>
        <v>39461.072702800011</v>
      </c>
      <c r="J119" s="52">
        <f t="shared" si="214"/>
        <v>44298.048051219994</v>
      </c>
      <c r="K119" s="52">
        <f t="shared" si="214"/>
        <v>45768.033904099997</v>
      </c>
      <c r="L119" s="52">
        <f t="shared" ref="L119:AB119" si="215">L120+L121+L125+L126</f>
        <v>45233.674828759991</v>
      </c>
      <c r="M119" s="52">
        <f t="shared" si="215"/>
        <v>47208.474866290009</v>
      </c>
      <c r="N119" s="52">
        <f t="shared" si="215"/>
        <v>49356.257098069997</v>
      </c>
      <c r="O119" s="52">
        <f t="shared" si="215"/>
        <v>50435.010770320005</v>
      </c>
      <c r="P119" s="52">
        <f t="shared" si="215"/>
        <v>53833.478587470003</v>
      </c>
      <c r="Q119" s="52">
        <f t="shared" si="215"/>
        <v>57195.548814369991</v>
      </c>
      <c r="R119" s="52">
        <f t="shared" si="215"/>
        <v>60117.659227559998</v>
      </c>
      <c r="S119" s="52">
        <f t="shared" si="215"/>
        <v>65611.628760710009</v>
      </c>
      <c r="T119" s="52">
        <f t="shared" si="215"/>
        <v>66575.383820620002</v>
      </c>
      <c r="U119" s="52">
        <f t="shared" si="215"/>
        <v>66627.665728960012</v>
      </c>
      <c r="V119" s="52">
        <f t="shared" si="215"/>
        <v>65364.787970920021</v>
      </c>
      <c r="W119" s="52">
        <f t="shared" si="215"/>
        <v>64831.066549519994</v>
      </c>
      <c r="X119" s="52">
        <f t="shared" si="215"/>
        <v>65962.365090182604</v>
      </c>
      <c r="Y119" s="52">
        <f t="shared" si="215"/>
        <v>66271.585600356513</v>
      </c>
      <c r="Z119" s="52">
        <f t="shared" si="215"/>
        <v>67655.028531134492</v>
      </c>
      <c r="AA119" s="52">
        <f t="shared" si="215"/>
        <v>68836.153278552709</v>
      </c>
      <c r="AB119" s="52">
        <f t="shared" si="215"/>
        <v>73474.530705988596</v>
      </c>
      <c r="AC119" s="52">
        <f t="shared" ref="AC119" si="216">AC120+AC121+AC125+AC126</f>
        <v>78074.93414690299</v>
      </c>
      <c r="AD119" s="52">
        <v>84606.188796738119</v>
      </c>
      <c r="AE119" s="52">
        <v>90244.611589042019</v>
      </c>
    </row>
    <row r="120" spans="1:31" s="54" customFormat="1" x14ac:dyDescent="0.35">
      <c r="A120" s="57">
        <v>117</v>
      </c>
      <c r="B120" s="35"/>
      <c r="C120" s="35"/>
      <c r="D120" s="46" t="s">
        <v>10</v>
      </c>
      <c r="E120" s="46" t="s">
        <v>18</v>
      </c>
      <c r="F120" s="54">
        <v>33025.691192164864</v>
      </c>
      <c r="G120" s="54">
        <v>29644.799303214004</v>
      </c>
      <c r="H120" s="54">
        <v>27182.772178880427</v>
      </c>
      <c r="I120" s="54">
        <v>26586.548615206855</v>
      </c>
      <c r="J120" s="54">
        <v>26987.964797459066</v>
      </c>
      <c r="K120" s="54">
        <v>27860.664554599975</v>
      </c>
      <c r="L120" s="54">
        <v>27193.850478031825</v>
      </c>
      <c r="M120" s="54">
        <v>28164.991757563865</v>
      </c>
      <c r="N120" s="54">
        <v>29538.707244299061</v>
      </c>
      <c r="O120" s="54">
        <v>29601.476690648124</v>
      </c>
      <c r="P120" s="54">
        <v>30490.879229238701</v>
      </c>
      <c r="Q120" s="54">
        <v>31446.034604079472</v>
      </c>
      <c r="R120" s="54">
        <v>32552.72162131912</v>
      </c>
      <c r="S120" s="54">
        <v>32701.928194898468</v>
      </c>
      <c r="T120" s="54">
        <v>33910.235891522949</v>
      </c>
      <c r="U120" s="54">
        <v>33881.289264617844</v>
      </c>
      <c r="V120" s="54">
        <v>36045.196416559636</v>
      </c>
      <c r="W120" s="54">
        <v>35604.403348291176</v>
      </c>
      <c r="X120" s="54">
        <v>35985.976849943982</v>
      </c>
      <c r="Y120" s="54">
        <v>35234.829413512118</v>
      </c>
      <c r="Z120" s="54">
        <v>35693.200269180183</v>
      </c>
      <c r="AA120" s="54">
        <v>35999.562447747419</v>
      </c>
      <c r="AB120" s="54">
        <v>38300.160770841132</v>
      </c>
      <c r="AC120" s="54">
        <v>39714.875718750474</v>
      </c>
      <c r="AD120" s="54">
        <v>42525.166711615937</v>
      </c>
      <c r="AE120" s="54">
        <v>45326.753209374212</v>
      </c>
    </row>
    <row r="121" spans="1:31" s="54" customFormat="1" x14ac:dyDescent="0.35">
      <c r="A121" s="57">
        <v>118</v>
      </c>
      <c r="B121" s="35"/>
      <c r="C121" s="35"/>
      <c r="D121" s="46" t="s">
        <v>11</v>
      </c>
      <c r="E121" s="46" t="s">
        <v>0</v>
      </c>
      <c r="F121" s="54">
        <f t="shared" ref="F121:K121" si="217">SUM(F122:F124)</f>
        <v>15536.654494082908</v>
      </c>
      <c r="G121" s="54">
        <f t="shared" si="217"/>
        <v>1480.0124029954998</v>
      </c>
      <c r="H121" s="54">
        <f t="shared" si="217"/>
        <v>1294.0690910000001</v>
      </c>
      <c r="I121" s="54">
        <f t="shared" si="217"/>
        <v>1357.7746299999999</v>
      </c>
      <c r="J121" s="54">
        <f t="shared" si="217"/>
        <v>1523.316098</v>
      </c>
      <c r="K121" s="54">
        <f t="shared" si="217"/>
        <v>1486.913102</v>
      </c>
      <c r="L121" s="54">
        <f t="shared" ref="L121:AB121" si="218">SUM(L122:L124)</f>
        <v>1272.7013569999999</v>
      </c>
      <c r="M121" s="54">
        <f t="shared" si="218"/>
        <v>1214.1287749999999</v>
      </c>
      <c r="N121" s="54">
        <f t="shared" si="218"/>
        <v>1250.5769170000001</v>
      </c>
      <c r="O121" s="54">
        <f t="shared" si="218"/>
        <v>1234.6704949999998</v>
      </c>
      <c r="P121" s="54">
        <f t="shared" si="218"/>
        <v>1492.1011340000002</v>
      </c>
      <c r="Q121" s="54">
        <f t="shared" si="218"/>
        <v>1633.0479559999999</v>
      </c>
      <c r="R121" s="54">
        <f t="shared" si="218"/>
        <v>1791.3074260000001</v>
      </c>
      <c r="S121" s="54">
        <f t="shared" si="218"/>
        <v>6146.9366188599997</v>
      </c>
      <c r="T121" s="54">
        <f t="shared" si="218"/>
        <v>4960.981407629999</v>
      </c>
      <c r="U121" s="54">
        <f t="shared" si="218"/>
        <v>5229.0397866500007</v>
      </c>
      <c r="V121" s="54">
        <f t="shared" si="218"/>
        <v>2465.890723</v>
      </c>
      <c r="W121" s="54">
        <f t="shared" si="218"/>
        <v>2602.8633770000001</v>
      </c>
      <c r="X121" s="54">
        <f t="shared" si="218"/>
        <v>2677.1486837699999</v>
      </c>
      <c r="Y121" s="54">
        <f t="shared" si="218"/>
        <v>2603.9500275599999</v>
      </c>
      <c r="Z121" s="54">
        <f t="shared" si="218"/>
        <v>2750.7138007399999</v>
      </c>
      <c r="AA121" s="54">
        <f t="shared" si="218"/>
        <v>2562.0216098299998</v>
      </c>
      <c r="AB121" s="54">
        <f t="shared" si="218"/>
        <v>2779.12728771</v>
      </c>
      <c r="AC121" s="54">
        <f t="shared" ref="AC121" si="219">SUM(AC122:AC124)</f>
        <v>3271.2162290900001</v>
      </c>
      <c r="AD121" s="54">
        <v>3624.8598829800003</v>
      </c>
      <c r="AE121" s="54">
        <v>3573.6792332300001</v>
      </c>
    </row>
    <row r="122" spans="1:31" s="55" customFormat="1" x14ac:dyDescent="0.35">
      <c r="A122" s="57">
        <v>119</v>
      </c>
      <c r="B122" s="35"/>
      <c r="C122" s="35"/>
      <c r="D122" s="47" t="s">
        <v>21</v>
      </c>
      <c r="E122" s="47" t="s">
        <v>20</v>
      </c>
      <c r="F122" s="55">
        <v>14013.107893260008</v>
      </c>
      <c r="G122" s="55">
        <v>0.40788200000000002</v>
      </c>
      <c r="H122" s="55">
        <v>0.12870000000000001</v>
      </c>
      <c r="I122" s="55">
        <v>0</v>
      </c>
      <c r="J122" s="55">
        <v>0</v>
      </c>
      <c r="K122" s="55">
        <v>0</v>
      </c>
      <c r="L122" s="55">
        <v>0</v>
      </c>
      <c r="M122" s="55">
        <v>0</v>
      </c>
      <c r="N122" s="55">
        <v>0</v>
      </c>
      <c r="O122" s="55">
        <v>0</v>
      </c>
      <c r="P122" s="55">
        <v>0</v>
      </c>
      <c r="Q122" s="55">
        <v>0</v>
      </c>
      <c r="R122" s="55">
        <v>0</v>
      </c>
      <c r="S122" s="55">
        <v>3897.8856348600002</v>
      </c>
      <c r="T122" s="55">
        <v>2576.2256396299999</v>
      </c>
      <c r="U122" s="55">
        <v>2777.68819265</v>
      </c>
      <c r="V122" s="55">
        <v>0</v>
      </c>
      <c r="W122" s="55">
        <v>0</v>
      </c>
      <c r="X122" s="55">
        <v>0</v>
      </c>
      <c r="Y122" s="55">
        <v>0</v>
      </c>
      <c r="Z122" s="55">
        <v>0</v>
      </c>
      <c r="AA122" s="55">
        <v>0</v>
      </c>
      <c r="AB122" s="55">
        <v>0</v>
      </c>
      <c r="AC122" s="55">
        <v>180.13617535999998</v>
      </c>
      <c r="AD122" s="55">
        <v>150.22153219999998</v>
      </c>
      <c r="AE122" s="55">
        <v>0</v>
      </c>
    </row>
    <row r="123" spans="1:31" s="55" customFormat="1" x14ac:dyDescent="0.35">
      <c r="A123" s="57">
        <v>120</v>
      </c>
      <c r="B123" s="35"/>
      <c r="C123" s="35"/>
      <c r="D123" s="47" t="s">
        <v>12</v>
      </c>
      <c r="E123" s="47" t="s">
        <v>22</v>
      </c>
      <c r="F123" s="55">
        <v>1523.5466008229</v>
      </c>
      <c r="G123" s="55">
        <v>1479.5095209954998</v>
      </c>
      <c r="H123" s="55">
        <v>1293.888191</v>
      </c>
      <c r="I123" s="55">
        <v>1350.077196</v>
      </c>
      <c r="J123" s="55">
        <v>1523.316098</v>
      </c>
      <c r="K123" s="55">
        <v>1486.913102</v>
      </c>
      <c r="L123" s="55">
        <v>1272.7013569999999</v>
      </c>
      <c r="M123" s="55">
        <v>1214.1287749999999</v>
      </c>
      <c r="N123" s="55">
        <v>1250.5769170000001</v>
      </c>
      <c r="O123" s="55">
        <v>1234.6704949999998</v>
      </c>
      <c r="P123" s="55">
        <v>1492.1011340000002</v>
      </c>
      <c r="Q123" s="55">
        <v>1633.0479559999999</v>
      </c>
      <c r="R123" s="55">
        <v>1791.3074260000001</v>
      </c>
      <c r="S123" s="55">
        <v>2249.050984</v>
      </c>
      <c r="T123" s="55">
        <v>2384.7557679999995</v>
      </c>
      <c r="U123" s="55">
        <v>2451.3515940000007</v>
      </c>
      <c r="V123" s="55">
        <v>2465.890723</v>
      </c>
      <c r="W123" s="55">
        <v>2602.8633770000001</v>
      </c>
      <c r="X123" s="55">
        <v>2677.1486837699999</v>
      </c>
      <c r="Y123" s="55">
        <v>2603.9500275599999</v>
      </c>
      <c r="Z123" s="55">
        <v>2750.7138007399999</v>
      </c>
      <c r="AA123" s="55">
        <v>2562.0216098299998</v>
      </c>
      <c r="AB123" s="55">
        <v>2779.12728771</v>
      </c>
      <c r="AC123" s="55">
        <v>3091.0800537300001</v>
      </c>
      <c r="AD123" s="55">
        <v>3474.6383507800001</v>
      </c>
      <c r="AE123" s="55">
        <v>3573.6792332300001</v>
      </c>
    </row>
    <row r="124" spans="1:31" s="55" customFormat="1" x14ac:dyDescent="0.35">
      <c r="A124" s="57">
        <v>121</v>
      </c>
      <c r="B124" s="35"/>
      <c r="C124" s="35"/>
      <c r="D124" s="47" t="s">
        <v>13</v>
      </c>
      <c r="E124" s="47" t="s">
        <v>23</v>
      </c>
      <c r="F124" s="55">
        <v>0</v>
      </c>
      <c r="G124" s="55">
        <v>9.5000000000000001E-2</v>
      </c>
      <c r="H124" s="55">
        <v>5.2200000000000003E-2</v>
      </c>
      <c r="I124" s="55">
        <v>7.6974340000000003</v>
      </c>
      <c r="J124" s="55">
        <v>0</v>
      </c>
      <c r="K124" s="55">
        <v>0</v>
      </c>
      <c r="L124" s="55">
        <v>0</v>
      </c>
      <c r="M124" s="55">
        <v>0</v>
      </c>
      <c r="N124" s="55">
        <v>0</v>
      </c>
      <c r="O124" s="55">
        <v>0</v>
      </c>
      <c r="P124" s="55">
        <v>0</v>
      </c>
      <c r="Q124" s="55">
        <v>0</v>
      </c>
      <c r="R124" s="55">
        <v>0</v>
      </c>
      <c r="S124" s="55">
        <v>0</v>
      </c>
      <c r="T124" s="55">
        <v>0</v>
      </c>
      <c r="U124" s="55">
        <v>0</v>
      </c>
      <c r="V124" s="55">
        <v>0</v>
      </c>
      <c r="W124" s="55">
        <v>0</v>
      </c>
      <c r="X124" s="55">
        <v>0</v>
      </c>
      <c r="Y124" s="55">
        <v>0</v>
      </c>
      <c r="Z124" s="55">
        <v>0</v>
      </c>
      <c r="AA124" s="55">
        <v>0</v>
      </c>
      <c r="AB124" s="55">
        <v>0</v>
      </c>
      <c r="AC124" s="55">
        <v>0</v>
      </c>
      <c r="AD124" s="55">
        <v>0</v>
      </c>
      <c r="AE124" s="55">
        <v>0</v>
      </c>
    </row>
    <row r="125" spans="1:31" s="54" customFormat="1" x14ac:dyDescent="0.35">
      <c r="A125" s="57">
        <v>122</v>
      </c>
      <c r="B125" s="35"/>
      <c r="C125" s="35"/>
      <c r="D125" s="46" t="s">
        <v>1</v>
      </c>
      <c r="E125" s="46" t="s">
        <v>24</v>
      </c>
      <c r="F125" s="54">
        <v>394.42157323629999</v>
      </c>
      <c r="G125" s="54">
        <v>76.619903983899988</v>
      </c>
      <c r="H125" s="54">
        <v>29.417822000000001</v>
      </c>
      <c r="I125" s="54">
        <v>37.563891000000005</v>
      </c>
      <c r="J125" s="54">
        <v>42.796659999999996</v>
      </c>
      <c r="K125" s="54">
        <v>37.238991999999996</v>
      </c>
      <c r="L125" s="54">
        <v>187.33979099999999</v>
      </c>
      <c r="M125" s="54">
        <v>280.29737499999999</v>
      </c>
      <c r="N125" s="54">
        <v>451.955265</v>
      </c>
      <c r="O125" s="54">
        <v>501.92920899999996</v>
      </c>
      <c r="P125" s="54">
        <v>494.544352</v>
      </c>
      <c r="Q125" s="54">
        <v>447.68610999999999</v>
      </c>
      <c r="R125" s="54">
        <v>687.869867</v>
      </c>
      <c r="S125" s="54">
        <v>707.49506500000007</v>
      </c>
      <c r="T125" s="54">
        <v>688.92698800000005</v>
      </c>
      <c r="U125" s="54">
        <v>698.71999700000003</v>
      </c>
      <c r="V125" s="54">
        <v>713.15483500000005</v>
      </c>
      <c r="W125" s="54">
        <v>694.12748399999998</v>
      </c>
      <c r="X125" s="54">
        <v>676.35474178000004</v>
      </c>
      <c r="Y125" s="54">
        <v>657.49470534999989</v>
      </c>
      <c r="Z125" s="54">
        <v>922.59922619999998</v>
      </c>
      <c r="AA125" s="54">
        <v>874.01258078000012</v>
      </c>
      <c r="AB125" s="54">
        <v>829.02275971999995</v>
      </c>
      <c r="AC125" s="54">
        <v>800.65211546</v>
      </c>
      <c r="AD125" s="54">
        <v>1089.8872914999999</v>
      </c>
      <c r="AE125" s="54">
        <v>1017.42463384</v>
      </c>
    </row>
    <row r="126" spans="1:31" s="54" customFormat="1" x14ac:dyDescent="0.35">
      <c r="A126" s="57">
        <v>123</v>
      </c>
      <c r="B126" s="35"/>
      <c r="C126" s="35"/>
      <c r="D126" s="46" t="s">
        <v>25</v>
      </c>
      <c r="E126" s="46" t="s">
        <v>26</v>
      </c>
      <c r="F126" s="54">
        <v>7450.2757220037311</v>
      </c>
      <c r="G126" s="54">
        <v>7746.8344297853</v>
      </c>
      <c r="H126" s="54">
        <v>9031.7312293995747</v>
      </c>
      <c r="I126" s="54">
        <v>11479.185566593151</v>
      </c>
      <c r="J126" s="54">
        <v>15743.970495760926</v>
      </c>
      <c r="K126" s="54">
        <v>16383.217255500029</v>
      </c>
      <c r="L126" s="54">
        <v>16579.783202728173</v>
      </c>
      <c r="M126" s="54">
        <v>17549.056958726149</v>
      </c>
      <c r="N126" s="54">
        <v>18115.017671770933</v>
      </c>
      <c r="O126" s="54">
        <v>19096.934375671877</v>
      </c>
      <c r="P126" s="54">
        <v>21355.953872231297</v>
      </c>
      <c r="Q126" s="54">
        <v>23668.780144290522</v>
      </c>
      <c r="R126" s="54">
        <v>25085.760313240873</v>
      </c>
      <c r="S126" s="54">
        <v>26055.268881951532</v>
      </c>
      <c r="T126" s="54">
        <v>27015.239533467055</v>
      </c>
      <c r="U126" s="54">
        <v>26818.616680692161</v>
      </c>
      <c r="V126" s="54">
        <v>26140.545996360383</v>
      </c>
      <c r="W126" s="54">
        <v>25929.672340228823</v>
      </c>
      <c r="X126" s="54">
        <v>26622.884814688616</v>
      </c>
      <c r="Y126" s="54">
        <v>27775.311453934391</v>
      </c>
      <c r="Z126" s="54">
        <v>28288.515235014307</v>
      </c>
      <c r="AA126" s="54">
        <v>29400.556640195293</v>
      </c>
      <c r="AB126" s="54">
        <v>31566.219887717471</v>
      </c>
      <c r="AC126" s="54">
        <v>34288.190083602523</v>
      </c>
      <c r="AD126" s="54">
        <v>37366.274910642176</v>
      </c>
      <c r="AE126" s="54">
        <v>40326.754512597807</v>
      </c>
    </row>
    <row r="127" spans="1:31" s="52" customFormat="1" ht="15.5" x14ac:dyDescent="0.35">
      <c r="A127" s="57">
        <v>124</v>
      </c>
      <c r="B127" s="35"/>
      <c r="C127" s="35"/>
      <c r="D127" s="45" t="s">
        <v>15</v>
      </c>
      <c r="E127" s="45" t="s">
        <v>17</v>
      </c>
      <c r="F127" s="52">
        <v>178.63719713199998</v>
      </c>
      <c r="G127" s="52">
        <v>176.4722644082</v>
      </c>
      <c r="H127" s="52">
        <v>126.54386387</v>
      </c>
      <c r="I127" s="52">
        <v>26.826238</v>
      </c>
      <c r="J127" s="52">
        <v>19.371390999999999</v>
      </c>
      <c r="K127" s="52">
        <v>350.15709700000002</v>
      </c>
      <c r="L127" s="52">
        <v>313.44935500000003</v>
      </c>
      <c r="M127" s="52">
        <v>330.90469300000001</v>
      </c>
      <c r="N127" s="52">
        <v>355.06456199999997</v>
      </c>
      <c r="O127" s="52">
        <v>349.45336300000002</v>
      </c>
      <c r="P127" s="52">
        <v>272.59231900000003</v>
      </c>
      <c r="Q127" s="52">
        <v>389.19902700000006</v>
      </c>
      <c r="R127" s="52">
        <v>402.98298499999999</v>
      </c>
      <c r="S127" s="52">
        <v>382.25270899999998</v>
      </c>
      <c r="T127" s="52">
        <v>254.66694799999999</v>
      </c>
      <c r="U127" s="52">
        <v>384.44143399999996</v>
      </c>
      <c r="V127" s="52">
        <v>361.94179600000001</v>
      </c>
      <c r="W127" s="52">
        <v>408.348949</v>
      </c>
      <c r="X127" s="52">
        <v>248.46321272999998</v>
      </c>
      <c r="Y127" s="52">
        <v>235.99648048</v>
      </c>
      <c r="Z127" s="52">
        <v>226.68136114000001</v>
      </c>
      <c r="AA127" s="52">
        <v>315.79955897499997</v>
      </c>
      <c r="AB127" s="52">
        <v>130.49721279950001</v>
      </c>
      <c r="AC127" s="52">
        <v>267.64804963639995</v>
      </c>
      <c r="AD127" s="52">
        <v>237.66454742000002</v>
      </c>
      <c r="AE127" s="52">
        <v>234.16720605</v>
      </c>
    </row>
    <row r="128" spans="1:31" s="51" customFormat="1" ht="9" customHeight="1" x14ac:dyDescent="0.35">
      <c r="A128" s="57">
        <v>125</v>
      </c>
      <c r="B128" s="35"/>
      <c r="C128" s="35"/>
      <c r="D128" s="49"/>
      <c r="E128" s="49"/>
      <c r="F128" s="51">
        <v>0</v>
      </c>
      <c r="G128" s="51">
        <v>0</v>
      </c>
      <c r="H128" s="51">
        <v>0</v>
      </c>
      <c r="I128" s="51">
        <v>0</v>
      </c>
      <c r="J128" s="51">
        <v>0</v>
      </c>
      <c r="K128" s="51">
        <v>0</v>
      </c>
      <c r="L128" s="51">
        <v>0</v>
      </c>
      <c r="M128" s="51">
        <v>0</v>
      </c>
      <c r="N128" s="51">
        <v>0</v>
      </c>
      <c r="O128" s="51">
        <v>0</v>
      </c>
      <c r="P128" s="51">
        <v>0</v>
      </c>
      <c r="Q128" s="51">
        <v>0</v>
      </c>
      <c r="R128" s="51">
        <v>0</v>
      </c>
      <c r="S128" s="51">
        <v>0</v>
      </c>
      <c r="T128" s="51">
        <v>0</v>
      </c>
      <c r="U128" s="51">
        <v>0</v>
      </c>
      <c r="V128" s="51">
        <v>0</v>
      </c>
      <c r="W128" s="51">
        <v>0</v>
      </c>
      <c r="X128" s="51">
        <v>0</v>
      </c>
      <c r="Y128" s="51">
        <v>0</v>
      </c>
      <c r="Z128" s="51">
        <v>0</v>
      </c>
      <c r="AA128" s="51">
        <v>0</v>
      </c>
      <c r="AB128" s="51">
        <v>0</v>
      </c>
      <c r="AC128" s="51">
        <v>0</v>
      </c>
      <c r="AD128" s="51">
        <v>0</v>
      </c>
      <c r="AE128" s="51">
        <v>0</v>
      </c>
    </row>
    <row r="129" spans="1:31" s="56" customFormat="1" ht="26.15" customHeight="1" x14ac:dyDescent="0.45">
      <c r="A129" s="57">
        <v>126</v>
      </c>
      <c r="B129" s="42"/>
      <c r="C129" s="44" t="s">
        <v>19</v>
      </c>
      <c r="D129" s="44"/>
      <c r="E129" s="35"/>
    </row>
    <row r="130" spans="1:31" s="52" customFormat="1" ht="18" customHeight="1" x14ac:dyDescent="0.35">
      <c r="A130" s="57">
        <v>127</v>
      </c>
      <c r="B130" s="35"/>
      <c r="C130" s="35"/>
      <c r="D130" s="45" t="s">
        <v>9</v>
      </c>
      <c r="E130" s="45" t="s">
        <v>30</v>
      </c>
      <c r="F130" s="52">
        <f t="shared" ref="F130:K130" si="220">F131+F132+F136+F137</f>
        <v>239.63708130000003</v>
      </c>
      <c r="G130" s="52">
        <f t="shared" si="220"/>
        <v>290.37230499999998</v>
      </c>
      <c r="H130" s="52">
        <f t="shared" si="220"/>
        <v>341.68240200000002</v>
      </c>
      <c r="I130" s="52">
        <f t="shared" si="220"/>
        <v>373.42977500000001</v>
      </c>
      <c r="J130" s="52">
        <f t="shared" si="220"/>
        <v>240.67975999999999</v>
      </c>
      <c r="K130" s="52">
        <f t="shared" si="220"/>
        <v>239.87885499999999</v>
      </c>
      <c r="L130" s="52">
        <f t="shared" ref="L130:AB130" si="221">L131+L132+L136+L137</f>
        <v>239.55656999999997</v>
      </c>
      <c r="M130" s="52">
        <f t="shared" si="221"/>
        <v>238.85436399999998</v>
      </c>
      <c r="N130" s="52">
        <f t="shared" si="221"/>
        <v>170.26300599999999</v>
      </c>
      <c r="O130" s="52">
        <f t="shared" si="221"/>
        <v>170.240127</v>
      </c>
      <c r="P130" s="52">
        <f t="shared" si="221"/>
        <v>184.61251000000001</v>
      </c>
      <c r="Q130" s="52">
        <f t="shared" si="221"/>
        <v>184.60663</v>
      </c>
      <c r="R130" s="52">
        <f t="shared" si="221"/>
        <v>81.602466313093942</v>
      </c>
      <c r="S130" s="52">
        <f t="shared" si="221"/>
        <v>82.924712415916417</v>
      </c>
      <c r="T130" s="52">
        <f t="shared" si="221"/>
        <v>89.753125245342062</v>
      </c>
      <c r="U130" s="52">
        <f t="shared" si="221"/>
        <v>90.073264687114843</v>
      </c>
      <c r="V130" s="52">
        <f t="shared" si="221"/>
        <v>81.088078670954189</v>
      </c>
      <c r="W130" s="52">
        <f t="shared" si="221"/>
        <v>77.046439842913614</v>
      </c>
      <c r="X130" s="52">
        <f t="shared" si="221"/>
        <v>78.755967354028186</v>
      </c>
      <c r="Y130" s="52">
        <f t="shared" si="221"/>
        <v>80.950930995929895</v>
      </c>
      <c r="Z130" s="52">
        <f t="shared" si="221"/>
        <v>81.808390490143495</v>
      </c>
      <c r="AA130" s="52">
        <f t="shared" si="221"/>
        <v>80.674017000082188</v>
      </c>
      <c r="AB130" s="52">
        <f t="shared" si="221"/>
        <v>81.757902777477241</v>
      </c>
      <c r="AC130" s="52">
        <f t="shared" ref="AC130" si="222">AC131+AC132+AC136+AC137</f>
        <v>85.827887965481963</v>
      </c>
      <c r="AD130" s="52">
        <v>84.747561529748324</v>
      </c>
      <c r="AE130" s="52">
        <v>85.121184115010038</v>
      </c>
    </row>
    <row r="131" spans="1:31" s="55" customFormat="1" x14ac:dyDescent="0.35">
      <c r="A131" s="57">
        <v>128</v>
      </c>
      <c r="B131" s="35"/>
      <c r="C131" s="35"/>
      <c r="D131" s="46" t="s">
        <v>10</v>
      </c>
      <c r="E131" s="46" t="s">
        <v>18</v>
      </c>
      <c r="F131" s="55">
        <v>158.56760030000001</v>
      </c>
      <c r="G131" s="55">
        <v>161.136662</v>
      </c>
      <c r="H131" s="55">
        <v>102.542929</v>
      </c>
      <c r="I131" s="55">
        <v>102.49736900000001</v>
      </c>
      <c r="J131" s="55">
        <v>106.487375</v>
      </c>
      <c r="K131" s="55">
        <v>106.487375</v>
      </c>
      <c r="L131" s="55">
        <v>106.487375</v>
      </c>
      <c r="M131" s="55">
        <v>106.888875</v>
      </c>
      <c r="N131" s="55">
        <v>21.881316999999999</v>
      </c>
      <c r="O131" s="55">
        <v>21.858438</v>
      </c>
      <c r="P131" s="55">
        <v>21.858438</v>
      </c>
      <c r="Q131" s="55">
        <v>21.852557999999998</v>
      </c>
      <c r="R131" s="55">
        <v>21.799461999999998</v>
      </c>
      <c r="S131" s="55">
        <v>21.799461999999998</v>
      </c>
      <c r="T131" s="55">
        <v>19.018694</v>
      </c>
      <c r="U131" s="55">
        <v>19.018694</v>
      </c>
      <c r="V131" s="55">
        <v>19.018694</v>
      </c>
      <c r="W131" s="55">
        <v>19.018694</v>
      </c>
      <c r="X131" s="55">
        <v>19.018694</v>
      </c>
      <c r="Y131" s="55">
        <v>19.041573</v>
      </c>
      <c r="Z131" s="55">
        <v>21.673486</v>
      </c>
      <c r="AA131" s="55">
        <v>19.018694</v>
      </c>
      <c r="AB131" s="55">
        <v>19.018694</v>
      </c>
      <c r="AC131" s="55">
        <v>19.018694</v>
      </c>
      <c r="AD131" s="55">
        <v>19.018694</v>
      </c>
      <c r="AE131" s="55">
        <v>21.056441</v>
      </c>
    </row>
    <row r="132" spans="1:31" s="54" customFormat="1" x14ac:dyDescent="0.35">
      <c r="A132" s="57">
        <v>129</v>
      </c>
      <c r="B132" s="35"/>
      <c r="C132" s="35"/>
      <c r="D132" s="46" t="s">
        <v>11</v>
      </c>
      <c r="E132" s="46" t="s">
        <v>0</v>
      </c>
      <c r="F132" s="54">
        <f t="shared" ref="F132:K132" si="223">SUM(F133:F135)</f>
        <v>81.06948100000001</v>
      </c>
      <c r="G132" s="54">
        <f t="shared" si="223"/>
        <v>129.23564300000001</v>
      </c>
      <c r="H132" s="54">
        <f t="shared" si="223"/>
        <v>239.13947300000001</v>
      </c>
      <c r="I132" s="54">
        <f t="shared" si="223"/>
        <v>270.93240600000001</v>
      </c>
      <c r="J132" s="54">
        <f t="shared" si="223"/>
        <v>134.192385</v>
      </c>
      <c r="K132" s="54">
        <f t="shared" si="223"/>
        <v>133.39148</v>
      </c>
      <c r="L132" s="54">
        <f t="shared" ref="L132:AB132" si="224">SUM(L133:L135)</f>
        <v>133.06919499999998</v>
      </c>
      <c r="M132" s="54">
        <f t="shared" si="224"/>
        <v>131.96548899999999</v>
      </c>
      <c r="N132" s="54">
        <f t="shared" si="224"/>
        <v>148.38168899999999</v>
      </c>
      <c r="O132" s="54">
        <f t="shared" si="224"/>
        <v>148.38168899999999</v>
      </c>
      <c r="P132" s="54">
        <f t="shared" si="224"/>
        <v>162.75407200000001</v>
      </c>
      <c r="Q132" s="54">
        <f t="shared" si="224"/>
        <v>162.75407200000001</v>
      </c>
      <c r="R132" s="54">
        <f t="shared" si="224"/>
        <v>59.803004313093936</v>
      </c>
      <c r="S132" s="54">
        <f t="shared" si="224"/>
        <v>61.125250415916426</v>
      </c>
      <c r="T132" s="54">
        <f t="shared" si="224"/>
        <v>70.734431245342066</v>
      </c>
      <c r="U132" s="54">
        <f t="shared" si="224"/>
        <v>71.054570687114847</v>
      </c>
      <c r="V132" s="54">
        <f t="shared" si="224"/>
        <v>62.069384670954186</v>
      </c>
      <c r="W132" s="54">
        <f t="shared" si="224"/>
        <v>58.02774584291361</v>
      </c>
      <c r="X132" s="54">
        <f t="shared" si="224"/>
        <v>59.737273354028183</v>
      </c>
      <c r="Y132" s="54">
        <f t="shared" si="224"/>
        <v>61.909357995929895</v>
      </c>
      <c r="Z132" s="54">
        <f t="shared" si="224"/>
        <v>60.134904490143498</v>
      </c>
      <c r="AA132" s="54">
        <f t="shared" si="224"/>
        <v>61.655323000082191</v>
      </c>
      <c r="AB132" s="54">
        <f t="shared" si="224"/>
        <v>62.739208777477245</v>
      </c>
      <c r="AC132" s="54">
        <f t="shared" ref="AC132" si="225">SUM(AC133:AC135)</f>
        <v>66.809193965481967</v>
      </c>
      <c r="AD132" s="54">
        <v>65.728867529748328</v>
      </c>
      <c r="AE132" s="54">
        <v>64.064743115010032</v>
      </c>
    </row>
    <row r="133" spans="1:31" s="55" customFormat="1" x14ac:dyDescent="0.35">
      <c r="A133" s="57">
        <v>130</v>
      </c>
      <c r="B133" s="35"/>
      <c r="C133" s="35"/>
      <c r="D133" s="47" t="s">
        <v>21</v>
      </c>
      <c r="E133" s="47" t="s">
        <v>20</v>
      </c>
      <c r="F133" s="55">
        <v>0</v>
      </c>
      <c r="G133" s="55">
        <v>0</v>
      </c>
      <c r="H133" s="55">
        <v>0</v>
      </c>
      <c r="I133" s="55">
        <v>0</v>
      </c>
      <c r="J133" s="55">
        <v>0</v>
      </c>
      <c r="K133" s="55">
        <v>0</v>
      </c>
      <c r="L133" s="55">
        <v>0</v>
      </c>
      <c r="M133" s="55">
        <v>0</v>
      </c>
      <c r="N133" s="55">
        <v>0</v>
      </c>
      <c r="O133" s="55">
        <v>0</v>
      </c>
      <c r="P133" s="55">
        <v>0</v>
      </c>
      <c r="Q133" s="55">
        <v>0</v>
      </c>
      <c r="R133" s="55">
        <v>0</v>
      </c>
      <c r="S133" s="55">
        <v>0</v>
      </c>
      <c r="T133" s="55">
        <v>0</v>
      </c>
      <c r="U133" s="55">
        <v>0</v>
      </c>
      <c r="V133" s="55">
        <v>0</v>
      </c>
      <c r="W133" s="55">
        <v>0</v>
      </c>
      <c r="X133" s="55">
        <v>0</v>
      </c>
      <c r="Y133" s="55">
        <v>0</v>
      </c>
      <c r="Z133" s="55">
        <v>0</v>
      </c>
      <c r="AA133" s="55">
        <v>0</v>
      </c>
      <c r="AB133" s="55">
        <v>0</v>
      </c>
      <c r="AC133" s="55">
        <v>0</v>
      </c>
      <c r="AD133" s="55">
        <v>0</v>
      </c>
      <c r="AE133" s="55">
        <v>0</v>
      </c>
    </row>
    <row r="134" spans="1:31" s="55" customFormat="1" x14ac:dyDescent="0.35">
      <c r="A134" s="57">
        <v>131</v>
      </c>
      <c r="B134" s="35"/>
      <c r="C134" s="35"/>
      <c r="D134" s="47" t="s">
        <v>12</v>
      </c>
      <c r="E134" s="47" t="s">
        <v>22</v>
      </c>
      <c r="F134" s="55">
        <v>38.583232585097349</v>
      </c>
      <c r="G134" s="55">
        <v>84.772333812588542</v>
      </c>
      <c r="H134" s="55">
        <v>193.52516825129428</v>
      </c>
      <c r="I134" s="55">
        <v>214.92805323283375</v>
      </c>
      <c r="J134" s="55">
        <v>88.903186069698847</v>
      </c>
      <c r="K134" s="55">
        <v>105.02457557749005</v>
      </c>
      <c r="L134" s="55">
        <v>103.9702364830956</v>
      </c>
      <c r="M134" s="55">
        <v>103.77650964850282</v>
      </c>
      <c r="N134" s="55">
        <v>121.70836725333206</v>
      </c>
      <c r="O134" s="55">
        <v>118.04590018038047</v>
      </c>
      <c r="P134" s="55">
        <v>132.54546045871746</v>
      </c>
      <c r="Q134" s="55">
        <v>137.29152479359007</v>
      </c>
      <c r="R134" s="55">
        <v>34.632355000000004</v>
      </c>
      <c r="S134" s="55">
        <v>34.632355000000004</v>
      </c>
      <c r="T134" s="55">
        <v>34.854241999999999</v>
      </c>
      <c r="U134" s="55">
        <v>33.745857999999998</v>
      </c>
      <c r="V134" s="55">
        <v>37.554001</v>
      </c>
      <c r="W134" s="55">
        <v>33.816642999999999</v>
      </c>
      <c r="X134" s="55">
        <v>33.928285000000002</v>
      </c>
      <c r="Y134" s="55">
        <v>33.928285000000002</v>
      </c>
      <c r="Z134" s="55">
        <v>34.130895000000002</v>
      </c>
      <c r="AA134" s="55">
        <v>34.130895000000002</v>
      </c>
      <c r="AB134" s="55">
        <v>34.219695999999999</v>
      </c>
      <c r="AC134" s="55">
        <v>35.788417000000003</v>
      </c>
      <c r="AD134" s="55">
        <v>36.248809000000001</v>
      </c>
      <c r="AE134" s="55">
        <v>34.211061999999998</v>
      </c>
    </row>
    <row r="135" spans="1:31" s="55" customFormat="1" x14ac:dyDescent="0.35">
      <c r="A135" s="57">
        <v>132</v>
      </c>
      <c r="B135" s="35"/>
      <c r="C135" s="35"/>
      <c r="D135" s="47" t="s">
        <v>13</v>
      </c>
      <c r="E135" s="47" t="s">
        <v>23</v>
      </c>
      <c r="F135" s="55">
        <v>42.486248414902661</v>
      </c>
      <c r="G135" s="55">
        <v>44.463309187411468</v>
      </c>
      <c r="H135" s="55">
        <v>45.614304748705734</v>
      </c>
      <c r="I135" s="55">
        <v>56.004352767166253</v>
      </c>
      <c r="J135" s="55">
        <v>45.289198930301147</v>
      </c>
      <c r="K135" s="55">
        <v>28.366904422509954</v>
      </c>
      <c r="L135" s="55">
        <v>29.098958516904389</v>
      </c>
      <c r="M135" s="55">
        <v>28.188979351497178</v>
      </c>
      <c r="N135" s="55">
        <v>26.673321746667931</v>
      </c>
      <c r="O135" s="55">
        <v>30.335788819619516</v>
      </c>
      <c r="P135" s="55">
        <v>30.208611541282554</v>
      </c>
      <c r="Q135" s="55">
        <v>25.46254720640993</v>
      </c>
      <c r="R135" s="55">
        <v>25.170649313093929</v>
      </c>
      <c r="S135" s="55">
        <v>26.492895415916426</v>
      </c>
      <c r="T135" s="55">
        <v>35.880189245342066</v>
      </c>
      <c r="U135" s="55">
        <v>37.308712687114856</v>
      </c>
      <c r="V135" s="55">
        <v>24.515383670954186</v>
      </c>
      <c r="W135" s="55">
        <v>24.211102842913611</v>
      </c>
      <c r="X135" s="55">
        <v>25.80898835402818</v>
      </c>
      <c r="Y135" s="55">
        <v>27.981072995929896</v>
      </c>
      <c r="Z135" s="55">
        <v>26.004009490143495</v>
      </c>
      <c r="AA135" s="55">
        <v>27.524428000082189</v>
      </c>
      <c r="AB135" s="55">
        <v>28.519512777477246</v>
      </c>
      <c r="AC135" s="55">
        <v>31.020776965481968</v>
      </c>
      <c r="AD135" s="55">
        <v>29.48005852974833</v>
      </c>
      <c r="AE135" s="55">
        <v>29.853681115010026</v>
      </c>
    </row>
    <row r="136" spans="1:31" s="54" customFormat="1" x14ac:dyDescent="0.35">
      <c r="A136" s="57">
        <v>133</v>
      </c>
      <c r="B136" s="35"/>
      <c r="C136" s="35"/>
      <c r="D136" s="46" t="s">
        <v>1</v>
      </c>
      <c r="E136" s="46" t="s">
        <v>24</v>
      </c>
      <c r="F136" s="54">
        <v>0</v>
      </c>
      <c r="G136" s="54">
        <v>0</v>
      </c>
      <c r="H136" s="54">
        <v>0</v>
      </c>
      <c r="I136" s="54">
        <v>0</v>
      </c>
      <c r="J136" s="54">
        <v>0</v>
      </c>
      <c r="K136" s="54">
        <v>0</v>
      </c>
      <c r="L136" s="54">
        <v>0</v>
      </c>
      <c r="M136" s="54">
        <v>0</v>
      </c>
      <c r="N136" s="54">
        <v>0</v>
      </c>
      <c r="O136" s="54">
        <v>0</v>
      </c>
      <c r="P136" s="54">
        <v>0</v>
      </c>
      <c r="Q136" s="54">
        <v>0</v>
      </c>
      <c r="R136" s="54">
        <v>0</v>
      </c>
      <c r="S136" s="54">
        <v>0</v>
      </c>
      <c r="T136" s="54">
        <v>0</v>
      </c>
      <c r="U136" s="54">
        <v>0</v>
      </c>
      <c r="V136" s="54">
        <v>0</v>
      </c>
      <c r="W136" s="54">
        <v>0</v>
      </c>
      <c r="X136" s="54">
        <v>0</v>
      </c>
      <c r="Y136" s="54">
        <v>0</v>
      </c>
      <c r="Z136" s="54">
        <v>0</v>
      </c>
      <c r="AA136" s="54">
        <v>0</v>
      </c>
      <c r="AB136" s="54">
        <v>0</v>
      </c>
      <c r="AC136" s="54">
        <v>0</v>
      </c>
      <c r="AD136" s="54">
        <v>0</v>
      </c>
      <c r="AE136" s="54">
        <v>0</v>
      </c>
    </row>
    <row r="137" spans="1:31" s="54" customFormat="1" x14ac:dyDescent="0.35">
      <c r="A137" s="57">
        <v>134</v>
      </c>
      <c r="B137" s="35"/>
      <c r="C137" s="35"/>
      <c r="D137" s="46" t="s">
        <v>25</v>
      </c>
      <c r="E137" s="46" t="s">
        <v>26</v>
      </c>
      <c r="F137" s="54">
        <v>0</v>
      </c>
      <c r="G137" s="54">
        <v>0</v>
      </c>
      <c r="H137" s="54">
        <v>0</v>
      </c>
      <c r="I137" s="54">
        <v>0</v>
      </c>
      <c r="J137" s="54">
        <v>0</v>
      </c>
      <c r="K137" s="54">
        <v>0</v>
      </c>
      <c r="L137" s="54">
        <v>0</v>
      </c>
      <c r="M137" s="54">
        <v>0</v>
      </c>
      <c r="N137" s="54">
        <v>0</v>
      </c>
      <c r="O137" s="54">
        <v>0</v>
      </c>
      <c r="P137" s="54">
        <v>0</v>
      </c>
      <c r="Q137" s="54">
        <v>0</v>
      </c>
      <c r="R137" s="54">
        <v>0</v>
      </c>
      <c r="S137" s="54">
        <v>0</v>
      </c>
      <c r="T137" s="54">
        <v>0</v>
      </c>
      <c r="U137" s="54">
        <v>0</v>
      </c>
      <c r="V137" s="54">
        <v>0</v>
      </c>
      <c r="W137" s="54">
        <v>0</v>
      </c>
      <c r="X137" s="54">
        <v>0</v>
      </c>
      <c r="Y137" s="54">
        <v>0</v>
      </c>
      <c r="Z137" s="54">
        <v>0</v>
      </c>
      <c r="AA137" s="54">
        <v>0</v>
      </c>
      <c r="AB137" s="54">
        <v>0</v>
      </c>
      <c r="AC137" s="54">
        <v>0</v>
      </c>
      <c r="AD137" s="54">
        <v>0</v>
      </c>
      <c r="AE137" s="54">
        <v>0</v>
      </c>
    </row>
    <row r="138" spans="1:31" s="52" customFormat="1" ht="15.5" x14ac:dyDescent="0.35">
      <c r="A138" s="57">
        <v>135</v>
      </c>
      <c r="B138" s="35"/>
      <c r="C138" s="35"/>
      <c r="D138" s="45" t="s">
        <v>15</v>
      </c>
      <c r="E138" s="45" t="s">
        <v>17</v>
      </c>
      <c r="F138" s="52">
        <v>216.86375200000001</v>
      </c>
      <c r="G138" s="52">
        <v>189.25398656000002</v>
      </c>
      <c r="H138" s="52">
        <v>224.38217</v>
      </c>
      <c r="I138" s="52">
        <v>244.788172</v>
      </c>
      <c r="J138" s="52">
        <v>1.6623399999999999</v>
      </c>
      <c r="K138" s="52">
        <v>1.708105</v>
      </c>
      <c r="L138" s="52">
        <v>1.708914</v>
      </c>
      <c r="M138" s="52">
        <v>1.730162</v>
      </c>
      <c r="N138" s="52">
        <v>1.802189</v>
      </c>
      <c r="O138" s="52">
        <v>1.802273</v>
      </c>
      <c r="P138" s="52">
        <v>1.844247</v>
      </c>
      <c r="Q138" s="52">
        <v>1.7986979999999999</v>
      </c>
      <c r="R138" s="52">
        <v>1.787118</v>
      </c>
      <c r="S138" s="52">
        <v>1.8041079999999998</v>
      </c>
      <c r="T138" s="52">
        <v>1.9354499999999999</v>
      </c>
      <c r="U138" s="52">
        <v>5.7611950000000007</v>
      </c>
      <c r="V138" s="52">
        <v>6.2998970000000005</v>
      </c>
      <c r="W138" s="52">
        <v>6.3415980000000003</v>
      </c>
      <c r="X138" s="52">
        <v>6.6485670000000008</v>
      </c>
      <c r="Y138" s="52">
        <v>6.4776350000000003</v>
      </c>
      <c r="Z138" s="52">
        <v>6.7653829999999999</v>
      </c>
      <c r="AA138" s="52">
        <v>7.0265820000000003</v>
      </c>
      <c r="AB138" s="52">
        <v>9.7144329999999997</v>
      </c>
      <c r="AC138" s="52">
        <v>9.7710980000000003</v>
      </c>
      <c r="AD138" s="52">
        <v>10.562681</v>
      </c>
      <c r="AE138" s="52">
        <v>10.866901</v>
      </c>
    </row>
    <row r="139" spans="1:31" s="51" customFormat="1" ht="9" customHeight="1" x14ac:dyDescent="0.35">
      <c r="A139" s="57">
        <v>136</v>
      </c>
      <c r="B139" s="35"/>
      <c r="C139" s="35"/>
      <c r="D139" s="49"/>
      <c r="E139" s="49"/>
      <c r="F139" s="51">
        <v>0</v>
      </c>
      <c r="G139" s="51">
        <v>0</v>
      </c>
      <c r="H139" s="51">
        <v>0</v>
      </c>
      <c r="I139" s="51">
        <v>0</v>
      </c>
      <c r="J139" s="51">
        <v>0</v>
      </c>
      <c r="K139" s="51">
        <v>0</v>
      </c>
      <c r="L139" s="51">
        <v>0</v>
      </c>
      <c r="M139" s="51">
        <v>0</v>
      </c>
      <c r="N139" s="51">
        <v>0</v>
      </c>
      <c r="O139" s="51">
        <v>0</v>
      </c>
      <c r="P139" s="51">
        <v>0</v>
      </c>
      <c r="Q139" s="51">
        <v>0</v>
      </c>
      <c r="R139" s="51">
        <v>0</v>
      </c>
      <c r="S139" s="51">
        <v>0</v>
      </c>
      <c r="T139" s="51">
        <v>0</v>
      </c>
      <c r="U139" s="51">
        <v>0</v>
      </c>
      <c r="V139" s="51">
        <v>0</v>
      </c>
      <c r="W139" s="51">
        <v>0</v>
      </c>
      <c r="X139" s="51">
        <v>0</v>
      </c>
      <c r="Y139" s="51">
        <v>0</v>
      </c>
      <c r="Z139" s="51">
        <v>0</v>
      </c>
      <c r="AA139" s="51">
        <v>0</v>
      </c>
      <c r="AB139" s="51">
        <v>0</v>
      </c>
      <c r="AC139" s="51">
        <v>0</v>
      </c>
      <c r="AD139" s="51">
        <v>0</v>
      </c>
      <c r="AE139" s="51">
        <v>0</v>
      </c>
    </row>
    <row r="140" spans="1:31" s="56" customFormat="1" ht="35.15" customHeight="1" x14ac:dyDescent="0.45">
      <c r="A140" s="57">
        <v>137</v>
      </c>
      <c r="B140" s="50" t="s">
        <v>36</v>
      </c>
      <c r="C140" s="42"/>
      <c r="D140" s="42"/>
      <c r="E140" s="35"/>
    </row>
    <row r="141" spans="1:31" s="56" customFormat="1" ht="26.15" customHeight="1" x14ac:dyDescent="0.45">
      <c r="A141" s="57">
        <v>138</v>
      </c>
      <c r="B141" s="42"/>
      <c r="C141" s="44" t="s">
        <v>6</v>
      </c>
      <c r="D141" s="44"/>
      <c r="E141" s="35"/>
    </row>
    <row r="142" spans="1:31" s="52" customFormat="1" ht="18" customHeight="1" x14ac:dyDescent="0.35">
      <c r="A142" s="57">
        <v>139</v>
      </c>
      <c r="B142" s="35"/>
      <c r="C142" s="35"/>
      <c r="D142" s="45" t="s">
        <v>9</v>
      </c>
      <c r="E142" s="45" t="s">
        <v>30</v>
      </c>
      <c r="F142" s="52">
        <f t="shared" ref="F142:K142" si="226">F143+F144+F148+F149</f>
        <v>772.21616363529984</v>
      </c>
      <c r="G142" s="52">
        <f t="shared" si="226"/>
        <v>777.14250843000002</v>
      </c>
      <c r="H142" s="52">
        <f t="shared" si="226"/>
        <v>776.89532824999992</v>
      </c>
      <c r="I142" s="52">
        <f t="shared" si="226"/>
        <v>763.96141564000004</v>
      </c>
      <c r="J142" s="52">
        <f t="shared" si="226"/>
        <v>574.46596683999985</v>
      </c>
      <c r="K142" s="52">
        <f t="shared" si="226"/>
        <v>640.86146680000002</v>
      </c>
      <c r="L142" s="52">
        <f t="shared" ref="L142:AB142" si="227">L143+L144+L148+L149</f>
        <v>802.37824975000012</v>
      </c>
      <c r="M142" s="52">
        <f t="shared" si="227"/>
        <v>751.95336378000002</v>
      </c>
      <c r="N142" s="52">
        <f t="shared" si="227"/>
        <v>750.05310037000004</v>
      </c>
      <c r="O142" s="52">
        <f t="shared" si="227"/>
        <v>716.02894937000019</v>
      </c>
      <c r="P142" s="52">
        <f t="shared" si="227"/>
        <v>746.64741272000003</v>
      </c>
      <c r="Q142" s="52">
        <f t="shared" si="227"/>
        <v>1216.3152515300001</v>
      </c>
      <c r="R142" s="52">
        <f t="shared" si="227"/>
        <v>1135.19891809</v>
      </c>
      <c r="S142" s="52">
        <f t="shared" si="227"/>
        <v>1655.1510542299998</v>
      </c>
      <c r="T142" s="52">
        <f t="shared" si="227"/>
        <v>1427.9652363600003</v>
      </c>
      <c r="U142" s="52">
        <f t="shared" si="227"/>
        <v>1255.47476886</v>
      </c>
      <c r="V142" s="52">
        <f t="shared" si="227"/>
        <v>1126.6943351100001</v>
      </c>
      <c r="W142" s="52">
        <f t="shared" si="227"/>
        <v>1181.0182697600001</v>
      </c>
      <c r="X142" s="52">
        <f t="shared" si="227"/>
        <v>1387.0594138700003</v>
      </c>
      <c r="Y142" s="52">
        <f t="shared" si="227"/>
        <v>1194.0129208200001</v>
      </c>
      <c r="Z142" s="52">
        <f t="shared" si="227"/>
        <v>1605.5533398799998</v>
      </c>
      <c r="AA142" s="52">
        <f t="shared" si="227"/>
        <v>1592.6300768099998</v>
      </c>
      <c r="AB142" s="52">
        <f t="shared" si="227"/>
        <v>1551.4131533200002</v>
      </c>
      <c r="AC142" s="52">
        <f t="shared" ref="AC142" si="228">AC143+AC144+AC148+AC149</f>
        <v>1689.8446614025822</v>
      </c>
      <c r="AD142" s="52">
        <v>1397.1113761361598</v>
      </c>
      <c r="AE142" s="52">
        <v>1823.4374147843871</v>
      </c>
    </row>
    <row r="143" spans="1:31" s="54" customFormat="1" x14ac:dyDescent="0.35">
      <c r="A143" s="57">
        <v>140</v>
      </c>
      <c r="B143" s="35"/>
      <c r="C143" s="35"/>
      <c r="D143" s="46" t="s">
        <v>10</v>
      </c>
      <c r="E143" s="46" t="s">
        <v>18</v>
      </c>
      <c r="F143" s="54">
        <v>0</v>
      </c>
      <c r="G143" s="54">
        <v>0</v>
      </c>
      <c r="H143" s="54">
        <v>0</v>
      </c>
      <c r="I143" s="54">
        <v>0</v>
      </c>
      <c r="J143" s="54">
        <v>0</v>
      </c>
      <c r="K143" s="54">
        <v>0</v>
      </c>
      <c r="L143" s="54">
        <v>0</v>
      </c>
      <c r="M143" s="54">
        <v>0</v>
      </c>
      <c r="N143" s="54">
        <v>0</v>
      </c>
      <c r="O143" s="54">
        <v>0</v>
      </c>
      <c r="P143" s="54">
        <v>0</v>
      </c>
      <c r="Q143" s="54">
        <v>0</v>
      </c>
      <c r="R143" s="54">
        <v>0</v>
      </c>
      <c r="S143" s="54">
        <v>0</v>
      </c>
      <c r="T143" s="54">
        <v>0</v>
      </c>
      <c r="U143" s="54">
        <v>0</v>
      </c>
      <c r="V143" s="54">
        <v>0</v>
      </c>
      <c r="W143" s="54">
        <v>0</v>
      </c>
      <c r="X143" s="54">
        <v>0</v>
      </c>
      <c r="Y143" s="54">
        <v>0</v>
      </c>
      <c r="Z143" s="54">
        <v>0</v>
      </c>
      <c r="AA143" s="54">
        <v>0</v>
      </c>
      <c r="AB143" s="54">
        <v>0</v>
      </c>
      <c r="AC143" s="54">
        <v>0</v>
      </c>
      <c r="AD143" s="54">
        <v>0</v>
      </c>
      <c r="AE143" s="54">
        <v>0</v>
      </c>
    </row>
    <row r="144" spans="1:31" s="54" customFormat="1" x14ac:dyDescent="0.35">
      <c r="A144" s="57">
        <v>141</v>
      </c>
      <c r="B144" s="35"/>
      <c r="C144" s="35"/>
      <c r="D144" s="46" t="s">
        <v>11</v>
      </c>
      <c r="E144" s="46" t="s">
        <v>0</v>
      </c>
      <c r="F144" s="54">
        <f t="shared" ref="F144:K144" si="229">SUM(F145:F147)</f>
        <v>772.21616363529984</v>
      </c>
      <c r="G144" s="54">
        <f t="shared" si="229"/>
        <v>777.14250843000002</v>
      </c>
      <c r="H144" s="54">
        <f t="shared" si="229"/>
        <v>776.89532824999992</v>
      </c>
      <c r="I144" s="54">
        <f t="shared" si="229"/>
        <v>763.96141564000004</v>
      </c>
      <c r="J144" s="54">
        <f t="shared" si="229"/>
        <v>574.46596683999985</v>
      </c>
      <c r="K144" s="54">
        <f t="shared" si="229"/>
        <v>640.86146680000002</v>
      </c>
      <c r="L144" s="54">
        <f t="shared" ref="L144:AB144" si="230">SUM(L145:L147)</f>
        <v>802.37824975000012</v>
      </c>
      <c r="M144" s="54">
        <f t="shared" si="230"/>
        <v>751.95336378000002</v>
      </c>
      <c r="N144" s="54">
        <f t="shared" si="230"/>
        <v>750.05310037000004</v>
      </c>
      <c r="O144" s="54">
        <f t="shared" si="230"/>
        <v>716.02894937000019</v>
      </c>
      <c r="P144" s="54">
        <f t="shared" si="230"/>
        <v>746.64741272000003</v>
      </c>
      <c r="Q144" s="54">
        <f t="shared" si="230"/>
        <v>1216.3152515300001</v>
      </c>
      <c r="R144" s="54">
        <f t="shared" si="230"/>
        <v>1135.19891809</v>
      </c>
      <c r="S144" s="54">
        <f t="shared" si="230"/>
        <v>1655.1510542299998</v>
      </c>
      <c r="T144" s="54">
        <f t="shared" si="230"/>
        <v>1427.9652363600003</v>
      </c>
      <c r="U144" s="54">
        <f t="shared" si="230"/>
        <v>1255.47476886</v>
      </c>
      <c r="V144" s="54">
        <f t="shared" si="230"/>
        <v>1126.6943351100001</v>
      </c>
      <c r="W144" s="54">
        <f t="shared" si="230"/>
        <v>1181.0182697600001</v>
      </c>
      <c r="X144" s="54">
        <f t="shared" si="230"/>
        <v>1387.0594138700003</v>
      </c>
      <c r="Y144" s="54">
        <f t="shared" si="230"/>
        <v>1194.0129208200001</v>
      </c>
      <c r="Z144" s="54">
        <f t="shared" si="230"/>
        <v>1605.5533398799998</v>
      </c>
      <c r="AA144" s="54">
        <f t="shared" si="230"/>
        <v>1592.6300768099998</v>
      </c>
      <c r="AB144" s="54">
        <f t="shared" si="230"/>
        <v>1551.4131533200002</v>
      </c>
      <c r="AC144" s="54">
        <f t="shared" ref="AC144" si="231">SUM(AC145:AC147)</f>
        <v>1689.8446614025822</v>
      </c>
      <c r="AD144" s="54">
        <v>1397.1113761361598</v>
      </c>
      <c r="AE144" s="54">
        <v>1823.4374147843871</v>
      </c>
    </row>
    <row r="145" spans="1:31" s="55" customFormat="1" x14ac:dyDescent="0.35">
      <c r="A145" s="57">
        <v>142</v>
      </c>
      <c r="B145" s="35"/>
      <c r="C145" s="35"/>
      <c r="D145" s="47" t="s">
        <v>21</v>
      </c>
      <c r="E145" s="47" t="s">
        <v>20</v>
      </c>
      <c r="F145" s="55">
        <v>772.21616363529984</v>
      </c>
      <c r="G145" s="55">
        <v>777.14250843000002</v>
      </c>
      <c r="H145" s="55">
        <v>776.89532824999992</v>
      </c>
      <c r="I145" s="55">
        <v>763.96141564000004</v>
      </c>
      <c r="J145" s="55">
        <v>574.46596683999985</v>
      </c>
      <c r="K145" s="55">
        <v>640.86146680000002</v>
      </c>
      <c r="L145" s="55">
        <v>802.37824975000012</v>
      </c>
      <c r="M145" s="55">
        <v>751.95336378000002</v>
      </c>
      <c r="N145" s="55">
        <v>750.05310037000004</v>
      </c>
      <c r="O145" s="55">
        <v>716.02894937000019</v>
      </c>
      <c r="P145" s="55">
        <v>746.64741272000003</v>
      </c>
      <c r="Q145" s="55">
        <v>1216.3152515300001</v>
      </c>
      <c r="R145" s="55">
        <v>1135.19891809</v>
      </c>
      <c r="S145" s="55">
        <v>1655.1510542299998</v>
      </c>
      <c r="T145" s="55">
        <v>1427.9652363600003</v>
      </c>
      <c r="U145" s="55">
        <v>1255.47476886</v>
      </c>
      <c r="V145" s="55">
        <v>1126.6943351100001</v>
      </c>
      <c r="W145" s="55">
        <v>1181.0182697600001</v>
      </c>
      <c r="X145" s="55">
        <v>1387.0594138700003</v>
      </c>
      <c r="Y145" s="55">
        <v>1194.0129208200001</v>
      </c>
      <c r="Z145" s="55">
        <v>1605.5533398799998</v>
      </c>
      <c r="AA145" s="55">
        <v>1592.6300768099998</v>
      </c>
      <c r="AB145" s="55">
        <v>1551.4131533200002</v>
      </c>
      <c r="AC145" s="55">
        <v>1689.8446614025822</v>
      </c>
      <c r="AD145" s="55">
        <v>1397.1113761361598</v>
      </c>
      <c r="AE145" s="55">
        <v>1823.4374147843871</v>
      </c>
    </row>
    <row r="146" spans="1:31" s="58" customFormat="1" x14ac:dyDescent="0.35">
      <c r="A146" s="57">
        <v>143</v>
      </c>
      <c r="B146" s="35"/>
      <c r="C146" s="35"/>
      <c r="D146" s="47" t="s">
        <v>12</v>
      </c>
      <c r="E146" s="47" t="s">
        <v>22</v>
      </c>
    </row>
    <row r="147" spans="1:31" s="55" customFormat="1" x14ac:dyDescent="0.35">
      <c r="A147" s="57">
        <v>144</v>
      </c>
      <c r="B147" s="35"/>
      <c r="C147" s="35"/>
      <c r="D147" s="47" t="s">
        <v>13</v>
      </c>
      <c r="E147" s="47" t="s">
        <v>23</v>
      </c>
      <c r="F147" s="55">
        <v>0</v>
      </c>
      <c r="G147" s="55">
        <v>0</v>
      </c>
      <c r="H147" s="55">
        <v>0</v>
      </c>
      <c r="I147" s="55">
        <v>0</v>
      </c>
      <c r="J147" s="55">
        <v>0</v>
      </c>
      <c r="K147" s="55">
        <v>0</v>
      </c>
      <c r="L147" s="55">
        <v>0</v>
      </c>
      <c r="M147" s="55">
        <v>0</v>
      </c>
      <c r="N147" s="55">
        <v>0</v>
      </c>
      <c r="O147" s="55">
        <v>0</v>
      </c>
      <c r="P147" s="55">
        <v>0</v>
      </c>
      <c r="Q147" s="55">
        <v>0</v>
      </c>
      <c r="R147" s="55">
        <v>0</v>
      </c>
      <c r="S147" s="55">
        <v>0</v>
      </c>
      <c r="T147" s="55">
        <v>0</v>
      </c>
      <c r="U147" s="55">
        <v>0</v>
      </c>
      <c r="V147" s="55">
        <v>0</v>
      </c>
      <c r="W147" s="55">
        <v>0</v>
      </c>
      <c r="X147" s="55">
        <v>0</v>
      </c>
      <c r="Y147" s="55">
        <v>0</v>
      </c>
      <c r="Z147" s="55">
        <v>0</v>
      </c>
      <c r="AA147" s="55">
        <v>0</v>
      </c>
      <c r="AB147" s="55">
        <v>0</v>
      </c>
      <c r="AC147" s="55">
        <v>0</v>
      </c>
      <c r="AD147" s="55">
        <v>0</v>
      </c>
      <c r="AE147" s="55">
        <v>0</v>
      </c>
    </row>
    <row r="148" spans="1:31" s="55" customFormat="1" x14ac:dyDescent="0.35">
      <c r="A148" s="57">
        <v>145</v>
      </c>
      <c r="B148" s="35"/>
      <c r="C148" s="35"/>
      <c r="D148" s="46" t="s">
        <v>14</v>
      </c>
      <c r="E148" s="46" t="s">
        <v>24</v>
      </c>
      <c r="F148" s="55">
        <v>0</v>
      </c>
      <c r="G148" s="55">
        <v>0</v>
      </c>
      <c r="H148" s="55">
        <v>0</v>
      </c>
      <c r="I148" s="55">
        <v>0</v>
      </c>
      <c r="J148" s="55">
        <v>0</v>
      </c>
      <c r="K148" s="55">
        <v>0</v>
      </c>
      <c r="L148" s="55">
        <v>0</v>
      </c>
      <c r="M148" s="55">
        <v>0</v>
      </c>
      <c r="N148" s="55">
        <v>0</v>
      </c>
      <c r="O148" s="55">
        <v>0</v>
      </c>
      <c r="P148" s="55">
        <v>0</v>
      </c>
      <c r="Q148" s="55">
        <v>0</v>
      </c>
      <c r="R148" s="55">
        <v>0</v>
      </c>
      <c r="S148" s="55">
        <v>0</v>
      </c>
      <c r="T148" s="55">
        <v>0</v>
      </c>
      <c r="U148" s="55">
        <v>0</v>
      </c>
      <c r="V148" s="55">
        <v>0</v>
      </c>
      <c r="W148" s="55">
        <v>0</v>
      </c>
      <c r="X148" s="55">
        <v>0</v>
      </c>
      <c r="Y148" s="55">
        <v>0</v>
      </c>
      <c r="Z148" s="55">
        <v>0</v>
      </c>
      <c r="AA148" s="55">
        <v>0</v>
      </c>
      <c r="AB148" s="55">
        <v>0</v>
      </c>
      <c r="AC148" s="55">
        <v>0</v>
      </c>
      <c r="AD148" s="55">
        <v>0</v>
      </c>
      <c r="AE148" s="55">
        <v>0</v>
      </c>
    </row>
    <row r="149" spans="1:31" s="55" customFormat="1" x14ac:dyDescent="0.35">
      <c r="A149" s="57">
        <v>146</v>
      </c>
      <c r="B149" s="35"/>
      <c r="C149" s="35"/>
      <c r="D149" s="46" t="s">
        <v>25</v>
      </c>
      <c r="E149" s="46" t="s">
        <v>26</v>
      </c>
      <c r="F149" s="55">
        <v>0</v>
      </c>
      <c r="G149" s="55">
        <v>0</v>
      </c>
      <c r="H149" s="55">
        <v>0</v>
      </c>
      <c r="I149" s="55">
        <v>0</v>
      </c>
      <c r="J149" s="55">
        <v>0</v>
      </c>
      <c r="K149" s="55">
        <v>0</v>
      </c>
      <c r="L149" s="55">
        <v>0</v>
      </c>
      <c r="M149" s="55">
        <v>0</v>
      </c>
      <c r="N149" s="55">
        <v>0</v>
      </c>
      <c r="O149" s="55">
        <v>0</v>
      </c>
      <c r="P149" s="55">
        <v>0</v>
      </c>
      <c r="Q149" s="55">
        <v>0</v>
      </c>
      <c r="R149" s="55">
        <v>0</v>
      </c>
      <c r="S149" s="55">
        <v>0</v>
      </c>
      <c r="T149" s="55">
        <v>0</v>
      </c>
      <c r="U149" s="55">
        <v>0</v>
      </c>
      <c r="V149" s="55">
        <v>0</v>
      </c>
      <c r="W149" s="55">
        <v>0</v>
      </c>
      <c r="X149" s="55">
        <v>0</v>
      </c>
      <c r="Y149" s="55">
        <v>0</v>
      </c>
      <c r="Z149" s="55">
        <v>0</v>
      </c>
      <c r="AA149" s="55">
        <v>0</v>
      </c>
      <c r="AB149" s="55">
        <v>0</v>
      </c>
      <c r="AC149" s="55">
        <v>0</v>
      </c>
      <c r="AD149" s="55">
        <v>0</v>
      </c>
      <c r="AE149" s="55">
        <v>0</v>
      </c>
    </row>
    <row r="150" spans="1:31" s="52" customFormat="1" ht="15.5" x14ac:dyDescent="0.35">
      <c r="A150" s="57">
        <v>147</v>
      </c>
      <c r="B150" s="35"/>
      <c r="C150" s="35"/>
      <c r="D150" s="45" t="s">
        <v>15</v>
      </c>
      <c r="E150" s="45" t="s">
        <v>17</v>
      </c>
      <c r="F150" s="52">
        <v>0.41988999999999993</v>
      </c>
      <c r="G150" s="52">
        <v>2.4922310000000003</v>
      </c>
      <c r="H150" s="52">
        <v>0.48767299999999991</v>
      </c>
      <c r="I150" s="52">
        <v>4.1929100000000004</v>
      </c>
      <c r="J150" s="52">
        <v>13.176584</v>
      </c>
      <c r="K150" s="52">
        <v>14.857206</v>
      </c>
      <c r="L150" s="52">
        <v>13.950485</v>
      </c>
      <c r="M150" s="52">
        <v>14.824164999999999</v>
      </c>
      <c r="N150" s="52">
        <v>11.762909000000001</v>
      </c>
      <c r="O150" s="52">
        <v>18.747554999999998</v>
      </c>
      <c r="P150" s="52">
        <v>13.015965999999999</v>
      </c>
      <c r="Q150" s="52">
        <v>11.095806</v>
      </c>
      <c r="R150" s="52">
        <v>10.286758000000001</v>
      </c>
      <c r="S150" s="52">
        <v>17.250232</v>
      </c>
      <c r="T150" s="52">
        <v>21.648947</v>
      </c>
      <c r="U150" s="52">
        <v>9.4054830000000003</v>
      </c>
      <c r="V150" s="52">
        <v>6.239903</v>
      </c>
      <c r="W150" s="52">
        <v>7.5037059999999993</v>
      </c>
      <c r="X150" s="52">
        <v>8.6767880000000002</v>
      </c>
      <c r="Y150" s="52">
        <v>9.1460250000000194</v>
      </c>
      <c r="Z150" s="52">
        <v>10.489205999999999</v>
      </c>
      <c r="AA150" s="52">
        <v>7.7518250000000002</v>
      </c>
      <c r="AB150" s="52">
        <v>7.3146869999999993</v>
      </c>
      <c r="AC150" s="52">
        <v>25.475877000000001</v>
      </c>
      <c r="AD150" s="52">
        <v>32.070759000000002</v>
      </c>
      <c r="AE150" s="52">
        <v>38.214770000000001</v>
      </c>
    </row>
    <row r="151" spans="1:31" s="51" customFormat="1" ht="9" customHeight="1" x14ac:dyDescent="0.35">
      <c r="A151" s="57">
        <v>148</v>
      </c>
      <c r="B151" s="35"/>
      <c r="C151" s="35"/>
      <c r="D151" s="49"/>
      <c r="E151" s="49"/>
      <c r="F151" s="51">
        <v>0</v>
      </c>
      <c r="G151" s="51">
        <v>0</v>
      </c>
      <c r="H151" s="51">
        <v>0</v>
      </c>
      <c r="I151" s="51">
        <v>0</v>
      </c>
      <c r="J151" s="51">
        <v>0</v>
      </c>
      <c r="K151" s="51">
        <v>0</v>
      </c>
      <c r="L151" s="51">
        <v>0</v>
      </c>
      <c r="M151" s="51">
        <v>0</v>
      </c>
      <c r="N151" s="51">
        <v>0</v>
      </c>
      <c r="O151" s="51">
        <v>0</v>
      </c>
      <c r="P151" s="51">
        <v>0</v>
      </c>
      <c r="Q151" s="51">
        <v>0</v>
      </c>
      <c r="R151" s="51">
        <v>0</v>
      </c>
      <c r="S151" s="51">
        <v>0</v>
      </c>
      <c r="T151" s="51">
        <v>0</v>
      </c>
      <c r="U151" s="51">
        <v>0</v>
      </c>
      <c r="V151" s="51">
        <v>0</v>
      </c>
      <c r="W151" s="51">
        <v>0</v>
      </c>
      <c r="X151" s="51">
        <v>0</v>
      </c>
      <c r="Y151" s="51">
        <v>0</v>
      </c>
      <c r="Z151" s="51">
        <v>0</v>
      </c>
      <c r="AA151" s="51">
        <v>0</v>
      </c>
      <c r="AB151" s="51">
        <v>0</v>
      </c>
      <c r="AC151" s="51">
        <v>0</v>
      </c>
      <c r="AD151" s="51">
        <v>0</v>
      </c>
      <c r="AE151" s="51">
        <v>0</v>
      </c>
    </row>
    <row r="152" spans="1:31" s="56" customFormat="1" ht="26.15" customHeight="1" x14ac:dyDescent="0.45">
      <c r="A152" s="57">
        <v>149</v>
      </c>
      <c r="B152" s="42"/>
      <c r="C152" s="44" t="s">
        <v>7</v>
      </c>
      <c r="D152" s="44"/>
      <c r="E152" s="35"/>
      <c r="Y152" s="99">
        <v>1.3043119999999817</v>
      </c>
      <c r="AC152" s="99"/>
    </row>
    <row r="153" spans="1:31" s="52" customFormat="1" ht="18" customHeight="1" x14ac:dyDescent="0.35">
      <c r="A153" s="57">
        <v>150</v>
      </c>
      <c r="B153" s="35"/>
      <c r="C153" s="35"/>
      <c r="D153" s="45" t="s">
        <v>9</v>
      </c>
      <c r="E153" s="45" t="s">
        <v>30</v>
      </c>
      <c r="F153" s="52">
        <f t="shared" ref="F153" si="232">F154+F155+F159+F160</f>
        <v>26.228196000000025</v>
      </c>
      <c r="G153" s="52">
        <f t="shared" ref="G153:H153" si="233">G154+G155+G159+G160</f>
        <v>162.43854908571416</v>
      </c>
      <c r="H153" s="52">
        <f t="shared" si="233"/>
        <v>301.92138526428573</v>
      </c>
      <c r="I153" s="52">
        <f t="shared" ref="I153" si="234">I154+I155+I159+I160</f>
        <v>178.17628912857143</v>
      </c>
      <c r="J153" s="52">
        <f t="shared" ref="J153:K153" si="235">J154+J155+J159+J160</f>
        <v>2.1930459999999812</v>
      </c>
      <c r="K153" s="52">
        <f t="shared" si="235"/>
        <v>1.7998070000001007</v>
      </c>
      <c r="L153" s="52">
        <f t="shared" ref="L153:AB153" si="236">L154+L155+L159+L160</f>
        <v>0.64048299999990377</v>
      </c>
      <c r="M153" s="52">
        <f t="shared" si="236"/>
        <v>3.5607030000001032</v>
      </c>
      <c r="N153" s="52">
        <f t="shared" si="236"/>
        <v>22.205437000000074</v>
      </c>
      <c r="O153" s="52">
        <f t="shared" si="236"/>
        <v>28.409930999999915</v>
      </c>
      <c r="P153" s="52">
        <f t="shared" si="236"/>
        <v>9.50941499999999</v>
      </c>
      <c r="Q153" s="52">
        <f t="shared" si="236"/>
        <v>3.7106329999999161</v>
      </c>
      <c r="R153" s="52">
        <f t="shared" si="236"/>
        <v>12.703631999999971</v>
      </c>
      <c r="S153" s="52">
        <f t="shared" si="236"/>
        <v>20.328948999999966</v>
      </c>
      <c r="T153" s="52">
        <f t="shared" si="236"/>
        <v>14.551909999999907</v>
      </c>
      <c r="U153" s="52">
        <f t="shared" si="236"/>
        <v>82.792486000000054</v>
      </c>
      <c r="V153" s="52">
        <f t="shared" si="236"/>
        <v>136.39404200000013</v>
      </c>
      <c r="W153" s="52">
        <f t="shared" si="236"/>
        <v>124.02878799999985</v>
      </c>
      <c r="X153" s="52">
        <f t="shared" si="236"/>
        <v>90.256714000000102</v>
      </c>
      <c r="Y153" s="52">
        <f t="shared" si="236"/>
        <v>52.718045000000075</v>
      </c>
      <c r="Z153" s="52">
        <f t="shared" si="236"/>
        <v>59.143015000000105</v>
      </c>
      <c r="AA153" s="52">
        <f t="shared" si="236"/>
        <v>58.838869000000159</v>
      </c>
      <c r="AB153" s="52">
        <f t="shared" si="236"/>
        <v>37.885615000000143</v>
      </c>
      <c r="AC153" s="52">
        <f t="shared" ref="AC153" si="237">AC154+AC155+AC159+AC160</f>
        <v>35.746118000000024</v>
      </c>
      <c r="AD153" s="52">
        <v>16.009274000000055</v>
      </c>
      <c r="AE153" s="52">
        <v>14.128916000000167</v>
      </c>
    </row>
    <row r="154" spans="1:31" s="55" customFormat="1" x14ac:dyDescent="0.35">
      <c r="A154" s="57">
        <v>151</v>
      </c>
      <c r="B154" s="35"/>
      <c r="C154" s="35"/>
      <c r="D154" s="46" t="s">
        <v>10</v>
      </c>
      <c r="E154" s="46" t="s">
        <v>18</v>
      </c>
      <c r="F154" s="55">
        <v>0</v>
      </c>
      <c r="G154" s="55">
        <v>0</v>
      </c>
      <c r="H154" s="55">
        <v>0</v>
      </c>
      <c r="I154" s="55">
        <v>0</v>
      </c>
      <c r="J154" s="55">
        <v>0</v>
      </c>
      <c r="K154" s="55">
        <v>0</v>
      </c>
      <c r="L154" s="55">
        <v>0</v>
      </c>
      <c r="M154" s="55">
        <v>0</v>
      </c>
      <c r="N154" s="55">
        <v>0</v>
      </c>
      <c r="O154" s="55">
        <v>0</v>
      </c>
      <c r="P154" s="55">
        <v>0</v>
      </c>
      <c r="Q154" s="55">
        <v>0</v>
      </c>
      <c r="R154" s="55">
        <v>0</v>
      </c>
      <c r="S154" s="55">
        <v>0</v>
      </c>
      <c r="T154" s="55">
        <v>0</v>
      </c>
      <c r="U154" s="55">
        <v>0</v>
      </c>
      <c r="V154" s="55">
        <v>0</v>
      </c>
      <c r="W154" s="55">
        <v>0</v>
      </c>
      <c r="X154" s="55">
        <v>0</v>
      </c>
      <c r="Y154" s="55">
        <v>0</v>
      </c>
      <c r="Z154" s="55">
        <v>0</v>
      </c>
      <c r="AA154" s="55">
        <v>0</v>
      </c>
      <c r="AB154" s="55">
        <v>0</v>
      </c>
      <c r="AC154" s="55">
        <v>0</v>
      </c>
      <c r="AD154" s="55">
        <v>4.2809999999999997</v>
      </c>
      <c r="AE154" s="55">
        <v>4.2809999999999997</v>
      </c>
    </row>
    <row r="155" spans="1:31" s="54" customFormat="1" x14ac:dyDescent="0.35">
      <c r="A155" s="57">
        <v>152</v>
      </c>
      <c r="B155" s="35"/>
      <c r="C155" s="35"/>
      <c r="D155" s="46" t="s">
        <v>11</v>
      </c>
      <c r="E155" s="46" t="s">
        <v>0</v>
      </c>
      <c r="F155" s="54">
        <f t="shared" ref="F155" si="238">SUM(F156:F158)</f>
        <v>0</v>
      </c>
      <c r="G155" s="54">
        <f t="shared" ref="G155:H155" si="239">SUM(G156:G158)</f>
        <v>104.50505708571428</v>
      </c>
      <c r="H155" s="54">
        <f t="shared" si="239"/>
        <v>288.22617526428576</v>
      </c>
      <c r="I155" s="54">
        <f t="shared" ref="I155" si="240">SUM(I156:I158)</f>
        <v>156.81641712857143</v>
      </c>
      <c r="J155" s="54">
        <f t="shared" ref="J155:K155" si="241">SUM(J156:J158)</f>
        <v>0</v>
      </c>
      <c r="K155" s="54">
        <f t="shared" si="241"/>
        <v>0</v>
      </c>
      <c r="L155" s="54">
        <f t="shared" ref="L155:AB155" si="242">SUM(L156:L158)</f>
        <v>0</v>
      </c>
      <c r="M155" s="54">
        <f t="shared" si="242"/>
        <v>0</v>
      </c>
      <c r="N155" s="54">
        <f t="shared" si="242"/>
        <v>0</v>
      </c>
      <c r="O155" s="54">
        <f t="shared" si="242"/>
        <v>0</v>
      </c>
      <c r="P155" s="54">
        <f t="shared" si="242"/>
        <v>0</v>
      </c>
      <c r="Q155" s="54">
        <f t="shared" si="242"/>
        <v>0</v>
      </c>
      <c r="R155" s="54">
        <f t="shared" si="242"/>
        <v>0</v>
      </c>
      <c r="S155" s="54">
        <f t="shared" si="242"/>
        <v>0</v>
      </c>
      <c r="T155" s="54">
        <f t="shared" si="242"/>
        <v>0</v>
      </c>
      <c r="U155" s="54">
        <f t="shared" si="242"/>
        <v>0</v>
      </c>
      <c r="V155" s="54">
        <f t="shared" si="242"/>
        <v>0</v>
      </c>
      <c r="W155" s="54">
        <f t="shared" si="242"/>
        <v>0</v>
      </c>
      <c r="X155" s="54">
        <f t="shared" si="242"/>
        <v>0</v>
      </c>
      <c r="Y155" s="54">
        <f t="shared" si="242"/>
        <v>0</v>
      </c>
      <c r="Z155" s="54">
        <f t="shared" si="242"/>
        <v>0</v>
      </c>
      <c r="AA155" s="54">
        <f t="shared" si="242"/>
        <v>0</v>
      </c>
      <c r="AB155" s="54">
        <f t="shared" si="242"/>
        <v>0</v>
      </c>
      <c r="AC155" s="54">
        <f t="shared" ref="AC155" si="243">SUM(AC156:AC158)</f>
        <v>0</v>
      </c>
      <c r="AD155" s="54">
        <v>0</v>
      </c>
      <c r="AE155" s="54">
        <v>0</v>
      </c>
    </row>
    <row r="156" spans="1:31" s="55" customFormat="1" x14ac:dyDescent="0.35">
      <c r="A156" s="57">
        <v>153</v>
      </c>
      <c r="B156" s="35"/>
      <c r="C156" s="35"/>
      <c r="D156" s="47" t="s">
        <v>21</v>
      </c>
      <c r="E156" s="47" t="s">
        <v>20</v>
      </c>
      <c r="F156" s="55">
        <v>0</v>
      </c>
      <c r="G156" s="55">
        <v>104.50505708571428</v>
      </c>
      <c r="H156" s="55">
        <v>288.22617526428576</v>
      </c>
      <c r="I156" s="55">
        <v>156.81641712857143</v>
      </c>
      <c r="J156" s="55">
        <v>0</v>
      </c>
      <c r="K156" s="55">
        <v>0</v>
      </c>
      <c r="L156" s="55">
        <v>0</v>
      </c>
      <c r="M156" s="55">
        <v>0</v>
      </c>
      <c r="N156" s="55">
        <v>0</v>
      </c>
      <c r="O156" s="55">
        <v>0</v>
      </c>
      <c r="P156" s="55">
        <v>0</v>
      </c>
      <c r="Q156" s="55">
        <v>0</v>
      </c>
      <c r="R156" s="55">
        <v>0</v>
      </c>
      <c r="S156" s="55">
        <v>0</v>
      </c>
      <c r="T156" s="55">
        <v>0</v>
      </c>
      <c r="U156" s="55">
        <v>0</v>
      </c>
      <c r="V156" s="55">
        <v>0</v>
      </c>
      <c r="W156" s="55">
        <v>0</v>
      </c>
      <c r="X156" s="55">
        <v>0</v>
      </c>
      <c r="Y156" s="55">
        <v>0</v>
      </c>
      <c r="Z156" s="55">
        <v>0</v>
      </c>
      <c r="AA156" s="55">
        <v>0</v>
      </c>
      <c r="AB156" s="55">
        <v>0</v>
      </c>
      <c r="AC156" s="55">
        <v>0</v>
      </c>
      <c r="AD156" s="55">
        <v>0</v>
      </c>
      <c r="AE156" s="55">
        <v>0</v>
      </c>
    </row>
    <row r="157" spans="1:31" s="58" customFormat="1" x14ac:dyDescent="0.35">
      <c r="A157" s="57">
        <v>154</v>
      </c>
      <c r="B157" s="35"/>
      <c r="C157" s="35"/>
      <c r="D157" s="47" t="s">
        <v>12</v>
      </c>
      <c r="E157" s="47" t="s">
        <v>22</v>
      </c>
    </row>
    <row r="158" spans="1:31" s="55" customFormat="1" x14ac:dyDescent="0.35">
      <c r="A158" s="57">
        <v>155</v>
      </c>
      <c r="B158" s="35"/>
      <c r="C158" s="35"/>
      <c r="D158" s="47" t="s">
        <v>13</v>
      </c>
      <c r="E158" s="47" t="s">
        <v>23</v>
      </c>
      <c r="F158" s="55">
        <v>0</v>
      </c>
      <c r="G158" s="55">
        <v>0</v>
      </c>
      <c r="H158" s="55">
        <v>0</v>
      </c>
      <c r="I158" s="55">
        <v>0</v>
      </c>
      <c r="J158" s="55">
        <v>0</v>
      </c>
      <c r="K158" s="55">
        <v>0</v>
      </c>
      <c r="L158" s="55">
        <v>0</v>
      </c>
      <c r="M158" s="55">
        <v>0</v>
      </c>
      <c r="N158" s="55">
        <v>0</v>
      </c>
      <c r="O158" s="55">
        <v>0</v>
      </c>
      <c r="P158" s="55">
        <v>0</v>
      </c>
      <c r="Q158" s="55">
        <v>0</v>
      </c>
      <c r="R158" s="55">
        <v>0</v>
      </c>
      <c r="S158" s="55">
        <v>0</v>
      </c>
      <c r="T158" s="55">
        <v>0</v>
      </c>
      <c r="U158" s="55">
        <v>0</v>
      </c>
      <c r="V158" s="55">
        <v>0</v>
      </c>
      <c r="W158" s="55">
        <v>0</v>
      </c>
      <c r="X158" s="55">
        <v>0</v>
      </c>
      <c r="Y158" s="55">
        <v>0</v>
      </c>
      <c r="Z158" s="55">
        <v>0</v>
      </c>
      <c r="AA158" s="55">
        <v>0</v>
      </c>
      <c r="AB158" s="55">
        <v>0</v>
      </c>
      <c r="AC158" s="55">
        <v>0</v>
      </c>
      <c r="AD158" s="55">
        <v>0</v>
      </c>
      <c r="AE158" s="55">
        <v>0</v>
      </c>
    </row>
    <row r="159" spans="1:31" s="54" customFormat="1" x14ac:dyDescent="0.35">
      <c r="A159" s="57">
        <v>156</v>
      </c>
      <c r="B159" s="35"/>
      <c r="C159" s="35"/>
      <c r="D159" s="46" t="s">
        <v>1</v>
      </c>
      <c r="E159" s="46" t="s">
        <v>24</v>
      </c>
      <c r="F159" s="54">
        <v>26.228196000000025</v>
      </c>
      <c r="G159" s="54">
        <v>57.933491999999887</v>
      </c>
      <c r="H159" s="54">
        <v>13.695209999999975</v>
      </c>
      <c r="I159" s="54">
        <v>21.359871999999996</v>
      </c>
      <c r="J159" s="54">
        <v>2.1930459999999812</v>
      </c>
      <c r="K159" s="54">
        <v>1.7998070000001007</v>
      </c>
      <c r="L159" s="54">
        <v>0.64048299999990377</v>
      </c>
      <c r="M159" s="54">
        <v>3.5607030000001032</v>
      </c>
      <c r="N159" s="54">
        <v>22.205437000000074</v>
      </c>
      <c r="O159" s="54">
        <v>28.409930999999915</v>
      </c>
      <c r="P159" s="54">
        <v>9.50941499999999</v>
      </c>
      <c r="Q159" s="54">
        <v>3.7106329999999161</v>
      </c>
      <c r="R159" s="54">
        <v>12.703631999999971</v>
      </c>
      <c r="S159" s="54">
        <v>20.328948999999966</v>
      </c>
      <c r="T159" s="54">
        <v>14.551909999999907</v>
      </c>
      <c r="U159" s="54">
        <v>82.792486000000054</v>
      </c>
      <c r="V159" s="54">
        <v>136.39404200000013</v>
      </c>
      <c r="W159" s="54">
        <v>124.02878799999985</v>
      </c>
      <c r="X159" s="54">
        <v>90.256714000000102</v>
      </c>
      <c r="Y159" s="54">
        <v>52.718045000000075</v>
      </c>
      <c r="Z159" s="54">
        <v>59.143015000000105</v>
      </c>
      <c r="AA159" s="54">
        <v>58.838869000000159</v>
      </c>
      <c r="AB159" s="54">
        <v>37.885615000000143</v>
      </c>
      <c r="AC159" s="54">
        <v>35.746118000000024</v>
      </c>
      <c r="AD159" s="54">
        <v>11.728274000000056</v>
      </c>
      <c r="AE159" s="54">
        <v>9.8479160000001684</v>
      </c>
    </row>
    <row r="160" spans="1:31" s="54" customFormat="1" x14ac:dyDescent="0.35">
      <c r="A160" s="57">
        <v>157</v>
      </c>
      <c r="B160" s="35"/>
      <c r="C160" s="35"/>
      <c r="D160" s="46" t="s">
        <v>25</v>
      </c>
      <c r="E160" s="46" t="s">
        <v>26</v>
      </c>
      <c r="F160" s="54">
        <v>0</v>
      </c>
      <c r="G160" s="54">
        <v>0</v>
      </c>
      <c r="H160" s="54">
        <v>0</v>
      </c>
      <c r="I160" s="54">
        <v>0</v>
      </c>
      <c r="J160" s="54">
        <v>0</v>
      </c>
      <c r="K160" s="54">
        <v>0</v>
      </c>
      <c r="L160" s="54">
        <v>0</v>
      </c>
      <c r="M160" s="54">
        <v>0</v>
      </c>
      <c r="N160" s="54">
        <v>0</v>
      </c>
      <c r="O160" s="54">
        <v>0</v>
      </c>
      <c r="P160" s="54">
        <v>0</v>
      </c>
      <c r="Q160" s="54">
        <v>0</v>
      </c>
      <c r="R160" s="54">
        <v>0</v>
      </c>
      <c r="S160" s="54">
        <v>0</v>
      </c>
      <c r="T160" s="54">
        <v>0</v>
      </c>
      <c r="U160" s="54">
        <v>0</v>
      </c>
      <c r="V160" s="54">
        <v>0</v>
      </c>
      <c r="W160" s="54">
        <v>0</v>
      </c>
      <c r="X160" s="54">
        <v>0</v>
      </c>
      <c r="Y160" s="54">
        <v>0</v>
      </c>
      <c r="Z160" s="54">
        <v>0</v>
      </c>
      <c r="AA160" s="54">
        <v>0</v>
      </c>
      <c r="AB160" s="54">
        <v>0</v>
      </c>
      <c r="AC160" s="54">
        <v>0</v>
      </c>
      <c r="AD160" s="54">
        <v>0</v>
      </c>
      <c r="AE160" s="54">
        <v>0</v>
      </c>
    </row>
    <row r="161" spans="1:31" s="52" customFormat="1" ht="15.5" x14ac:dyDescent="0.35">
      <c r="A161" s="57">
        <v>158</v>
      </c>
      <c r="B161" s="35"/>
      <c r="C161" s="35"/>
      <c r="D161" s="45" t="s">
        <v>15</v>
      </c>
      <c r="E161" s="45" t="s">
        <v>17</v>
      </c>
      <c r="F161" s="52">
        <v>0</v>
      </c>
      <c r="G161" s="52">
        <v>0</v>
      </c>
      <c r="H161" s="52">
        <v>0</v>
      </c>
      <c r="I161" s="52">
        <v>0</v>
      </c>
      <c r="J161" s="52">
        <v>0</v>
      </c>
      <c r="K161" s="52">
        <v>0</v>
      </c>
      <c r="L161" s="52">
        <v>0</v>
      </c>
      <c r="M161" s="52">
        <v>0</v>
      </c>
      <c r="N161" s="52">
        <v>0</v>
      </c>
      <c r="O161" s="52">
        <v>0</v>
      </c>
      <c r="P161" s="52">
        <v>0</v>
      </c>
      <c r="Q161" s="52">
        <v>0</v>
      </c>
      <c r="R161" s="52">
        <v>0</v>
      </c>
      <c r="S161" s="52">
        <v>0</v>
      </c>
      <c r="T161" s="52">
        <v>0</v>
      </c>
      <c r="U161" s="52">
        <v>0</v>
      </c>
      <c r="V161" s="52">
        <v>0</v>
      </c>
      <c r="W161" s="52">
        <v>0</v>
      </c>
      <c r="X161" s="52">
        <v>0</v>
      </c>
      <c r="Y161" s="52">
        <v>0</v>
      </c>
      <c r="Z161" s="52">
        <v>0</v>
      </c>
      <c r="AA161" s="52">
        <v>0</v>
      </c>
      <c r="AB161" s="52">
        <v>1.76902</v>
      </c>
      <c r="AC161" s="52">
        <v>0</v>
      </c>
      <c r="AD161" s="52">
        <v>0</v>
      </c>
      <c r="AE161" s="52">
        <v>0</v>
      </c>
    </row>
    <row r="162" spans="1:31" s="51" customFormat="1" ht="17.25" customHeight="1" x14ac:dyDescent="0.35">
      <c r="A162" s="57">
        <v>159</v>
      </c>
      <c r="B162" s="35"/>
      <c r="C162" s="35"/>
      <c r="D162" s="49"/>
      <c r="E162" s="49"/>
      <c r="F162" s="51">
        <v>0</v>
      </c>
      <c r="G162" s="51">
        <v>0</v>
      </c>
      <c r="H162" s="51">
        <v>0</v>
      </c>
      <c r="I162" s="51">
        <v>0</v>
      </c>
      <c r="J162" s="51">
        <v>0</v>
      </c>
      <c r="K162" s="51">
        <v>0</v>
      </c>
      <c r="L162" s="51">
        <v>0</v>
      </c>
      <c r="M162" s="51">
        <v>0</v>
      </c>
      <c r="N162" s="51">
        <v>0</v>
      </c>
      <c r="O162" s="51">
        <v>0</v>
      </c>
      <c r="P162" s="51">
        <v>0</v>
      </c>
      <c r="Q162" s="51">
        <v>0</v>
      </c>
      <c r="R162" s="51">
        <v>0</v>
      </c>
      <c r="S162" s="51">
        <v>0</v>
      </c>
      <c r="T162" s="51">
        <v>0</v>
      </c>
      <c r="U162" s="51">
        <v>0</v>
      </c>
      <c r="V162" s="51">
        <v>0</v>
      </c>
      <c r="W162" s="51">
        <v>0</v>
      </c>
      <c r="X162" s="51">
        <v>0</v>
      </c>
      <c r="Y162" s="51">
        <v>0</v>
      </c>
      <c r="Z162" s="51">
        <v>0</v>
      </c>
      <c r="AA162" s="51">
        <v>0</v>
      </c>
      <c r="AB162" s="51">
        <v>0</v>
      </c>
      <c r="AC162" s="51">
        <v>0</v>
      </c>
      <c r="AD162" s="51">
        <v>0</v>
      </c>
      <c r="AE162" s="51">
        <v>0</v>
      </c>
    </row>
    <row r="163" spans="1:31" s="56" customFormat="1" ht="26.15" customHeight="1" x14ac:dyDescent="0.45">
      <c r="A163" s="57">
        <v>160</v>
      </c>
      <c r="B163" s="42"/>
      <c r="C163" s="44" t="s">
        <v>2</v>
      </c>
      <c r="D163" s="44"/>
      <c r="E163" s="35"/>
    </row>
    <row r="164" spans="1:31" s="52" customFormat="1" ht="18" customHeight="1" x14ac:dyDescent="0.35">
      <c r="A164" s="57">
        <v>161</v>
      </c>
      <c r="B164" s="35"/>
      <c r="C164" s="35"/>
      <c r="D164" s="45" t="s">
        <v>9</v>
      </c>
      <c r="E164" s="45" t="s">
        <v>30</v>
      </c>
      <c r="F164" s="52">
        <f t="shared" ref="F164" si="244">F165+F166+F170+F171</f>
        <v>2680.8524600000001</v>
      </c>
      <c r="G164" s="52">
        <f t="shared" ref="G164:H164" si="245">G165+G166+G170+G171</f>
        <v>4158.1436039999999</v>
      </c>
      <c r="H164" s="52">
        <f t="shared" si="245"/>
        <v>4782.5236590000004</v>
      </c>
      <c r="I164" s="52">
        <f t="shared" ref="I164" si="246">I165+I166+I170+I171</f>
        <v>6950.4606979999999</v>
      </c>
      <c r="J164" s="52">
        <f t="shared" ref="J164:K164" si="247">J165+J166+J170+J171</f>
        <v>9696.8091367099987</v>
      </c>
      <c r="K164" s="52">
        <f t="shared" si="247"/>
        <v>10118.816896999999</v>
      </c>
      <c r="L164" s="52">
        <f t="shared" ref="L164:AB164" si="248">L165+L166+L170+L171</f>
        <v>9672.3043290000005</v>
      </c>
      <c r="M164" s="52">
        <f t="shared" si="248"/>
        <v>9926.296260000001</v>
      </c>
      <c r="N164" s="52">
        <f t="shared" si="248"/>
        <v>10006.979919000001</v>
      </c>
      <c r="O164" s="52">
        <f t="shared" si="248"/>
        <v>10192.460827000001</v>
      </c>
      <c r="P164" s="52">
        <f t="shared" si="248"/>
        <v>10747.434856</v>
      </c>
      <c r="Q164" s="52">
        <f t="shared" si="248"/>
        <v>11293.580307</v>
      </c>
      <c r="R164" s="52">
        <f t="shared" si="248"/>
        <v>11725.406187000001</v>
      </c>
      <c r="S164" s="52">
        <f t="shared" si="248"/>
        <v>12219.649931</v>
      </c>
      <c r="T164" s="52">
        <f t="shared" si="248"/>
        <v>13039.728105000002</v>
      </c>
      <c r="U164" s="52">
        <f t="shared" si="248"/>
        <v>13433.793337999999</v>
      </c>
      <c r="V164" s="52">
        <f t="shared" si="248"/>
        <v>13481.097782999999</v>
      </c>
      <c r="W164" s="52">
        <f t="shared" si="248"/>
        <v>13820.851844999999</v>
      </c>
      <c r="X164" s="52">
        <f t="shared" si="248"/>
        <v>14143.405139999999</v>
      </c>
      <c r="Y164" s="52">
        <f t="shared" si="248"/>
        <v>14168.317099209999</v>
      </c>
      <c r="Z164" s="52">
        <f t="shared" si="248"/>
        <v>14074.343301999999</v>
      </c>
      <c r="AA164" s="52">
        <f t="shared" si="248"/>
        <v>14023.61519</v>
      </c>
      <c r="AB164" s="52">
        <f t="shared" si="248"/>
        <v>14474.883158999999</v>
      </c>
      <c r="AC164" s="52">
        <f t="shared" ref="AC164" si="249">AC165+AC166+AC170+AC171</f>
        <v>15196.185977000001</v>
      </c>
      <c r="AD164" s="52">
        <v>15701.111905000002</v>
      </c>
      <c r="AE164" s="52">
        <v>15918.976817000002</v>
      </c>
    </row>
    <row r="165" spans="1:31" s="54" customFormat="1" x14ac:dyDescent="0.35">
      <c r="A165" s="57">
        <v>162</v>
      </c>
      <c r="B165" s="35"/>
      <c r="C165" s="35"/>
      <c r="D165" s="46" t="s">
        <v>10</v>
      </c>
      <c r="E165" s="46" t="s">
        <v>18</v>
      </c>
      <c r="F165" s="54">
        <v>803.09402899999998</v>
      </c>
      <c r="G165" s="54">
        <v>929.46021599999995</v>
      </c>
      <c r="H165" s="54">
        <v>607.32985900000006</v>
      </c>
      <c r="I165" s="54">
        <v>1092.4175989999999</v>
      </c>
      <c r="J165" s="54">
        <v>1616.5896029999999</v>
      </c>
      <c r="K165" s="54">
        <v>1694.1495129999998</v>
      </c>
      <c r="L165" s="54">
        <v>1616.6577050000001</v>
      </c>
      <c r="M165" s="54">
        <v>1670.3235340000001</v>
      </c>
      <c r="N165" s="54">
        <v>1807.341936</v>
      </c>
      <c r="O165" s="54">
        <v>1825.0288250000001</v>
      </c>
      <c r="P165" s="54">
        <v>1949.9713059999999</v>
      </c>
      <c r="Q165" s="54">
        <v>1872.1686160000002</v>
      </c>
      <c r="R165" s="54">
        <v>2027.063709</v>
      </c>
      <c r="S165" s="54">
        <v>2189.3343519999999</v>
      </c>
      <c r="T165" s="54">
        <v>2442.7784459999998</v>
      </c>
      <c r="U165" s="54">
        <v>2487.7333630000003</v>
      </c>
      <c r="V165" s="54">
        <v>2735.0790489999999</v>
      </c>
      <c r="W165" s="54">
        <v>3114.15978</v>
      </c>
      <c r="X165" s="54">
        <v>3525.7407039999998</v>
      </c>
      <c r="Y165" s="54">
        <v>3631.3993300000002</v>
      </c>
      <c r="Z165" s="54">
        <v>3897.7138660000001</v>
      </c>
      <c r="AA165" s="54">
        <v>4110.3051059999998</v>
      </c>
      <c r="AB165" s="54">
        <v>4447.300843</v>
      </c>
      <c r="AC165" s="54">
        <v>4516.0951490000007</v>
      </c>
      <c r="AD165" s="54">
        <v>4780.185727</v>
      </c>
      <c r="AE165" s="54">
        <v>4845.0589070000005</v>
      </c>
    </row>
    <row r="166" spans="1:31" s="54" customFormat="1" x14ac:dyDescent="0.35">
      <c r="A166" s="57">
        <v>163</v>
      </c>
      <c r="B166" s="35"/>
      <c r="C166" s="35"/>
      <c r="D166" s="46" t="s">
        <v>11</v>
      </c>
      <c r="E166" s="46" t="s">
        <v>0</v>
      </c>
      <c r="F166" s="54">
        <f t="shared" ref="F166" si="250">SUM(F167:F169)</f>
        <v>43.554920999999993</v>
      </c>
      <c r="G166" s="54">
        <f t="shared" ref="G166:H166" si="251">SUM(G167:G169)</f>
        <v>39.660035999999991</v>
      </c>
      <c r="H166" s="54">
        <f t="shared" si="251"/>
        <v>54.008620000000008</v>
      </c>
      <c r="I166" s="54">
        <f t="shared" ref="I166" si="252">SUM(I167:I169)</f>
        <v>54.967039999999997</v>
      </c>
      <c r="J166" s="54">
        <f t="shared" ref="J166:K166" si="253">SUM(J167:J169)</f>
        <v>54.439283999999994</v>
      </c>
      <c r="K166" s="54">
        <f t="shared" si="253"/>
        <v>49.056500000000007</v>
      </c>
      <c r="L166" s="54">
        <f t="shared" ref="L166:AB166" si="254">SUM(L167:L169)</f>
        <v>43.826492000000002</v>
      </c>
      <c r="M166" s="54">
        <f t="shared" si="254"/>
        <v>42.463042000000002</v>
      </c>
      <c r="N166" s="54">
        <f t="shared" si="254"/>
        <v>34.710081000000002</v>
      </c>
      <c r="O166" s="54">
        <f t="shared" si="254"/>
        <v>28.293331000000002</v>
      </c>
      <c r="P166" s="54">
        <f t="shared" si="254"/>
        <v>28.634687</v>
      </c>
      <c r="Q166" s="54">
        <f t="shared" si="254"/>
        <v>42.303030000000007</v>
      </c>
      <c r="R166" s="54">
        <f t="shared" si="254"/>
        <v>37.787132999999997</v>
      </c>
      <c r="S166" s="54">
        <f t="shared" si="254"/>
        <v>36.451211000000001</v>
      </c>
      <c r="T166" s="54">
        <f t="shared" si="254"/>
        <v>35.471243000000001</v>
      </c>
      <c r="U166" s="54">
        <f t="shared" si="254"/>
        <v>33.181082000000004</v>
      </c>
      <c r="V166" s="54">
        <f t="shared" si="254"/>
        <v>28.316766000000001</v>
      </c>
      <c r="W166" s="54">
        <f t="shared" si="254"/>
        <v>25.447409</v>
      </c>
      <c r="X166" s="54">
        <f t="shared" si="254"/>
        <v>26.994606999999998</v>
      </c>
      <c r="Y166" s="54">
        <f t="shared" si="254"/>
        <v>34.371838000000004</v>
      </c>
      <c r="Z166" s="54">
        <f t="shared" si="254"/>
        <v>23.460534000000003</v>
      </c>
      <c r="AA166" s="54">
        <f t="shared" si="254"/>
        <v>16.307687000000001</v>
      </c>
      <c r="AB166" s="54">
        <f t="shared" si="254"/>
        <v>18.116561000000001</v>
      </c>
      <c r="AC166" s="54">
        <f t="shared" ref="AC166" si="255">SUM(AC167:AC169)</f>
        <v>13.323221999999999</v>
      </c>
      <c r="AD166" s="54">
        <v>15.588750000000001</v>
      </c>
      <c r="AE166" s="54">
        <v>14.157118999999998</v>
      </c>
    </row>
    <row r="167" spans="1:31" s="55" customFormat="1" x14ac:dyDescent="0.35">
      <c r="A167" s="57">
        <v>164</v>
      </c>
      <c r="B167" s="35"/>
      <c r="C167" s="35"/>
      <c r="D167" s="47" t="s">
        <v>21</v>
      </c>
      <c r="E167" s="47" t="s">
        <v>20</v>
      </c>
      <c r="F167" s="55">
        <v>43.554920999999993</v>
      </c>
      <c r="G167" s="55">
        <v>39.660035999999991</v>
      </c>
      <c r="H167" s="55">
        <v>54.008620000000008</v>
      </c>
      <c r="I167" s="55">
        <v>54.967039999999997</v>
      </c>
      <c r="J167" s="55">
        <v>54.439283999999994</v>
      </c>
      <c r="K167" s="55">
        <v>49.056500000000007</v>
      </c>
      <c r="L167" s="55">
        <v>43.826492000000002</v>
      </c>
      <c r="M167" s="55">
        <v>42.463042000000002</v>
      </c>
      <c r="N167" s="55">
        <v>34.710081000000002</v>
      </c>
      <c r="O167" s="55">
        <v>28.293331000000002</v>
      </c>
      <c r="P167" s="55">
        <v>28.634687</v>
      </c>
      <c r="Q167" s="55">
        <v>42.303030000000007</v>
      </c>
      <c r="R167" s="55">
        <v>37.787132999999997</v>
      </c>
      <c r="S167" s="55">
        <v>36.451211000000001</v>
      </c>
      <c r="T167" s="55">
        <v>35.471243000000001</v>
      </c>
      <c r="U167" s="55">
        <v>33.181082000000004</v>
      </c>
      <c r="V167" s="55">
        <v>28.316766000000001</v>
      </c>
      <c r="W167" s="55">
        <v>25.447409</v>
      </c>
      <c r="X167" s="55">
        <v>26.994606999999998</v>
      </c>
      <c r="Y167" s="55">
        <v>34.371838000000004</v>
      </c>
      <c r="Z167" s="55">
        <v>23.460534000000003</v>
      </c>
      <c r="AA167" s="55">
        <v>16.307687000000001</v>
      </c>
      <c r="AB167" s="55">
        <v>18.116561000000001</v>
      </c>
      <c r="AC167" s="55">
        <v>13.323221999999999</v>
      </c>
      <c r="AD167" s="55">
        <v>15.588750000000001</v>
      </c>
      <c r="AE167" s="55">
        <v>14.157118999999998</v>
      </c>
    </row>
    <row r="168" spans="1:31" s="58" customFormat="1" x14ac:dyDescent="0.35">
      <c r="A168" s="57">
        <v>165</v>
      </c>
      <c r="B168" s="35"/>
      <c r="C168" s="35"/>
      <c r="D168" s="47" t="s">
        <v>12</v>
      </c>
      <c r="E168" s="47" t="s">
        <v>22</v>
      </c>
    </row>
    <row r="169" spans="1:31" s="55" customFormat="1" x14ac:dyDescent="0.35">
      <c r="A169" s="57">
        <v>166</v>
      </c>
      <c r="B169" s="35"/>
      <c r="C169" s="35"/>
      <c r="D169" s="47" t="s">
        <v>13</v>
      </c>
      <c r="E169" s="47" t="s">
        <v>23</v>
      </c>
      <c r="F169" s="55">
        <v>0</v>
      </c>
      <c r="G169" s="55">
        <v>0</v>
      </c>
      <c r="H169" s="55">
        <v>0</v>
      </c>
      <c r="I169" s="55">
        <v>0</v>
      </c>
      <c r="J169" s="55">
        <v>0</v>
      </c>
      <c r="K169" s="55">
        <v>0</v>
      </c>
      <c r="L169" s="55">
        <v>0</v>
      </c>
      <c r="M169" s="55">
        <v>0</v>
      </c>
      <c r="N169" s="55">
        <v>0</v>
      </c>
      <c r="O169" s="55">
        <v>0</v>
      </c>
      <c r="P169" s="55">
        <v>0</v>
      </c>
      <c r="Q169" s="55">
        <v>0</v>
      </c>
      <c r="R169" s="55">
        <v>0</v>
      </c>
      <c r="S169" s="55">
        <v>0</v>
      </c>
      <c r="T169" s="55">
        <v>0</v>
      </c>
      <c r="U169" s="55">
        <v>0</v>
      </c>
      <c r="V169" s="55">
        <v>0</v>
      </c>
      <c r="W169" s="55">
        <v>0</v>
      </c>
      <c r="X169" s="55">
        <v>0</v>
      </c>
      <c r="Y169" s="55">
        <v>0</v>
      </c>
      <c r="Z169" s="55">
        <v>0</v>
      </c>
      <c r="AA169" s="55">
        <v>0</v>
      </c>
      <c r="AB169" s="55">
        <v>0</v>
      </c>
      <c r="AC169" s="55">
        <v>0</v>
      </c>
      <c r="AD169" s="55">
        <v>0</v>
      </c>
      <c r="AE169" s="55">
        <v>0</v>
      </c>
    </row>
    <row r="170" spans="1:31" s="54" customFormat="1" x14ac:dyDescent="0.35">
      <c r="A170" s="57">
        <v>167</v>
      </c>
      <c r="B170" s="35"/>
      <c r="C170" s="35"/>
      <c r="D170" s="46" t="s">
        <v>1</v>
      </c>
      <c r="E170" s="46" t="s">
        <v>24</v>
      </c>
      <c r="F170" s="54">
        <v>0</v>
      </c>
      <c r="G170" s="54">
        <v>0</v>
      </c>
      <c r="H170" s="54">
        <v>0</v>
      </c>
      <c r="I170" s="54">
        <v>0</v>
      </c>
      <c r="J170" s="54">
        <v>0</v>
      </c>
      <c r="K170" s="54">
        <v>0</v>
      </c>
      <c r="L170" s="54">
        <v>0</v>
      </c>
      <c r="M170" s="54">
        <v>0</v>
      </c>
      <c r="N170" s="54">
        <v>0</v>
      </c>
      <c r="O170" s="54">
        <v>0</v>
      </c>
      <c r="P170" s="54">
        <v>0</v>
      </c>
      <c r="Q170" s="54">
        <v>0</v>
      </c>
      <c r="R170" s="54">
        <v>0</v>
      </c>
      <c r="S170" s="54">
        <v>0</v>
      </c>
      <c r="T170" s="54">
        <v>0</v>
      </c>
      <c r="U170" s="54">
        <v>0</v>
      </c>
      <c r="V170" s="54">
        <v>0</v>
      </c>
      <c r="W170" s="54">
        <v>0</v>
      </c>
      <c r="X170" s="54">
        <v>2.14E-4</v>
      </c>
      <c r="Y170" s="54">
        <v>0</v>
      </c>
      <c r="Z170" s="54">
        <v>0</v>
      </c>
      <c r="AA170" s="54">
        <v>0</v>
      </c>
      <c r="AB170" s="54">
        <v>0</v>
      </c>
      <c r="AC170" s="54">
        <v>0</v>
      </c>
      <c r="AD170" s="54">
        <v>0</v>
      </c>
      <c r="AE170" s="54">
        <v>0</v>
      </c>
    </row>
    <row r="171" spans="1:31" s="54" customFormat="1" x14ac:dyDescent="0.35">
      <c r="A171" s="57">
        <v>168</v>
      </c>
      <c r="B171" s="35"/>
      <c r="C171" s="35"/>
      <c r="D171" s="46" t="s">
        <v>25</v>
      </c>
      <c r="E171" s="46" t="s">
        <v>26</v>
      </c>
      <c r="F171" s="54">
        <v>1834.2035100000003</v>
      </c>
      <c r="G171" s="54">
        <v>3189.0233520000002</v>
      </c>
      <c r="H171" s="54">
        <v>4121.1851800000004</v>
      </c>
      <c r="I171" s="54">
        <v>5803.076059</v>
      </c>
      <c r="J171" s="54">
        <v>8025.7802497099992</v>
      </c>
      <c r="K171" s="54">
        <v>8375.6108839999997</v>
      </c>
      <c r="L171" s="54">
        <v>8011.8201319999998</v>
      </c>
      <c r="M171" s="54">
        <v>8213.5096840000006</v>
      </c>
      <c r="N171" s="54">
        <v>8164.9279020000004</v>
      </c>
      <c r="O171" s="54">
        <v>8339.1386710000006</v>
      </c>
      <c r="P171" s="54">
        <v>8768.8288630000006</v>
      </c>
      <c r="Q171" s="54">
        <v>9379.1086610000002</v>
      </c>
      <c r="R171" s="54">
        <v>9660.5553450000007</v>
      </c>
      <c r="S171" s="54">
        <v>9993.8643680000005</v>
      </c>
      <c r="T171" s="54">
        <v>10561.478416000002</v>
      </c>
      <c r="U171" s="54">
        <v>10912.878892999999</v>
      </c>
      <c r="V171" s="54">
        <v>10717.701967999999</v>
      </c>
      <c r="W171" s="54">
        <v>10681.244655999999</v>
      </c>
      <c r="X171" s="54">
        <v>10590.669614999999</v>
      </c>
      <c r="Y171" s="54">
        <v>10502.545931209999</v>
      </c>
      <c r="Z171" s="54">
        <v>10153.168901999999</v>
      </c>
      <c r="AA171" s="54">
        <v>9897.0023970000002</v>
      </c>
      <c r="AB171" s="54">
        <v>10009.465754999999</v>
      </c>
      <c r="AC171" s="54">
        <v>10666.767605999999</v>
      </c>
      <c r="AD171" s="54">
        <v>10905.337428000001</v>
      </c>
      <c r="AE171" s="54">
        <v>11059.760791000001</v>
      </c>
    </row>
    <row r="172" spans="1:31" s="52" customFormat="1" ht="15.5" x14ac:dyDescent="0.35">
      <c r="A172" s="57">
        <v>169</v>
      </c>
      <c r="B172" s="35"/>
      <c r="C172" s="35"/>
      <c r="D172" s="45" t="s">
        <v>15</v>
      </c>
      <c r="E172" s="45" t="s">
        <v>17</v>
      </c>
      <c r="F172" s="52">
        <v>82.875092000000009</v>
      </c>
      <c r="G172" s="52">
        <v>3.8593099999999998</v>
      </c>
      <c r="H172" s="52">
        <v>3.973732</v>
      </c>
      <c r="I172" s="52">
        <v>0.754884</v>
      </c>
      <c r="J172" s="52">
        <v>11.395258</v>
      </c>
      <c r="K172" s="52">
        <v>19.417617</v>
      </c>
      <c r="L172" s="52">
        <v>20.756463</v>
      </c>
      <c r="M172" s="52">
        <v>21.410356</v>
      </c>
      <c r="N172" s="52">
        <v>23.377366000000002</v>
      </c>
      <c r="O172" s="52">
        <v>23.360579999999999</v>
      </c>
      <c r="P172" s="52">
        <v>24.156323999999998</v>
      </c>
      <c r="Q172" s="52">
        <v>23.452956</v>
      </c>
      <c r="R172" s="52">
        <v>21.906098</v>
      </c>
      <c r="S172" s="52">
        <v>20.747641999999999</v>
      </c>
      <c r="T172" s="52">
        <v>29.082446000000001</v>
      </c>
      <c r="U172" s="52">
        <v>27.702912000000001</v>
      </c>
      <c r="V172" s="52">
        <v>21.895648999999999</v>
      </c>
      <c r="W172" s="52">
        <v>0.41399200000000003</v>
      </c>
      <c r="X172" s="52">
        <v>0.37412099999999998</v>
      </c>
      <c r="Y172" s="52">
        <v>-7.1541759999990138</v>
      </c>
      <c r="Z172" s="52">
        <v>0.53879600000000005</v>
      </c>
      <c r="AA172" s="52">
        <v>0.32880100000000001</v>
      </c>
      <c r="AB172" s="52">
        <v>29.234318999999999</v>
      </c>
      <c r="AC172" s="52">
        <v>40.009018999999995</v>
      </c>
      <c r="AD172" s="52">
        <v>42.317059</v>
      </c>
      <c r="AE172" s="52">
        <v>43.622374000000001</v>
      </c>
    </row>
    <row r="173" spans="1:31" s="51" customFormat="1" ht="9" customHeight="1" x14ac:dyDescent="0.35">
      <c r="A173" s="57">
        <v>170</v>
      </c>
      <c r="B173" s="35"/>
      <c r="C173" s="35"/>
      <c r="D173" s="49"/>
      <c r="E173" s="49"/>
      <c r="F173" s="51">
        <v>0</v>
      </c>
      <c r="G173" s="51">
        <v>0</v>
      </c>
      <c r="H173" s="51">
        <v>0</v>
      </c>
      <c r="I173" s="51">
        <v>0</v>
      </c>
      <c r="J173" s="51">
        <v>0</v>
      </c>
      <c r="K173" s="51">
        <v>0</v>
      </c>
      <c r="L173" s="51">
        <v>0</v>
      </c>
      <c r="M173" s="51">
        <v>0</v>
      </c>
      <c r="N173" s="51">
        <v>0</v>
      </c>
      <c r="O173" s="51">
        <v>0</v>
      </c>
      <c r="P173" s="51">
        <v>0</v>
      </c>
      <c r="Q173" s="51">
        <v>0</v>
      </c>
      <c r="R173" s="51">
        <v>0</v>
      </c>
      <c r="S173" s="51">
        <v>0</v>
      </c>
      <c r="T173" s="51">
        <v>0</v>
      </c>
      <c r="U173" s="51">
        <v>0</v>
      </c>
      <c r="V173" s="51">
        <v>0</v>
      </c>
      <c r="W173" s="51">
        <v>0</v>
      </c>
      <c r="X173" s="51">
        <v>0</v>
      </c>
      <c r="Y173" s="51">
        <v>0</v>
      </c>
      <c r="Z173" s="51">
        <v>0</v>
      </c>
      <c r="AA173" s="51">
        <v>0</v>
      </c>
      <c r="AB173" s="51">
        <v>0</v>
      </c>
      <c r="AC173" s="51">
        <v>0</v>
      </c>
      <c r="AD173" s="51">
        <v>0</v>
      </c>
      <c r="AE173" s="51">
        <v>0</v>
      </c>
    </row>
    <row r="174" spans="1:31" s="56" customFormat="1" ht="26.15" customHeight="1" x14ac:dyDescent="0.45">
      <c r="A174" s="57">
        <v>171</v>
      </c>
      <c r="B174" s="42"/>
      <c r="C174" s="44" t="s">
        <v>19</v>
      </c>
      <c r="D174" s="44"/>
      <c r="E174" s="35"/>
      <c r="Y174" s="99"/>
      <c r="AC174" s="99"/>
    </row>
    <row r="175" spans="1:31" s="52" customFormat="1" ht="18" customHeight="1" x14ac:dyDescent="0.35">
      <c r="A175" s="57">
        <v>172</v>
      </c>
      <c r="B175" s="35"/>
      <c r="C175" s="35"/>
      <c r="D175" s="45" t="s">
        <v>9</v>
      </c>
      <c r="E175" s="45" t="s">
        <v>30</v>
      </c>
      <c r="F175" s="52">
        <f t="shared" ref="F175" si="256">F176+F177+F181+F182</f>
        <v>11.872918000000002</v>
      </c>
      <c r="G175" s="52">
        <f t="shared" ref="G175:H175" si="257">G176+G177+G181+G182</f>
        <v>13.026195999999988</v>
      </c>
      <c r="H175" s="52">
        <f t="shared" si="257"/>
        <v>13.428845999999984</v>
      </c>
      <c r="I175" s="52">
        <f t="shared" ref="I175" si="258">I176+I177+I181+I182</f>
        <v>16.640876000000006</v>
      </c>
      <c r="J175" s="52">
        <f t="shared" ref="J175:K175" si="259">J176+J177+J181+J182</f>
        <v>60.347387999999995</v>
      </c>
      <c r="K175" s="52">
        <f t="shared" si="259"/>
        <v>60.880741999999998</v>
      </c>
      <c r="L175" s="52">
        <f t="shared" ref="L175:AB175" si="260">L176+L177+L181+L182</f>
        <v>53.440734999999989</v>
      </c>
      <c r="M175" s="52">
        <f t="shared" si="260"/>
        <v>48.917406</v>
      </c>
      <c r="N175" s="52">
        <f t="shared" si="260"/>
        <v>27.929925999999995</v>
      </c>
      <c r="O175" s="52">
        <f t="shared" si="260"/>
        <v>27.671546000000006</v>
      </c>
      <c r="P175" s="52">
        <f t="shared" si="260"/>
        <v>33.401168000000013</v>
      </c>
      <c r="Q175" s="52">
        <f t="shared" si="260"/>
        <v>47.694446999999997</v>
      </c>
      <c r="R175" s="52">
        <f t="shared" si="260"/>
        <v>56.813891999999996</v>
      </c>
      <c r="S175" s="52">
        <f t="shared" si="260"/>
        <v>84.929952999999998</v>
      </c>
      <c r="T175" s="52">
        <f t="shared" si="260"/>
        <v>104.033333</v>
      </c>
      <c r="U175" s="52">
        <f t="shared" si="260"/>
        <v>112.52333299999999</v>
      </c>
      <c r="V175" s="52">
        <f t="shared" si="260"/>
        <v>102.13510800000003</v>
      </c>
      <c r="W175" s="52">
        <f t="shared" si="260"/>
        <v>126.57175100000001</v>
      </c>
      <c r="X175" s="52">
        <f t="shared" si="260"/>
        <v>113.38500700000003</v>
      </c>
      <c r="Y175" s="52">
        <f t="shared" si="260"/>
        <v>112.20413699999997</v>
      </c>
      <c r="Z175" s="52">
        <f t="shared" si="260"/>
        <v>84.194435000000027</v>
      </c>
      <c r="AA175" s="52">
        <f t="shared" si="260"/>
        <v>95.560562000000019</v>
      </c>
      <c r="AB175" s="52">
        <f t="shared" si="260"/>
        <v>90.537064000000001</v>
      </c>
      <c r="AC175" s="52">
        <f t="shared" ref="AC175" si="261">AC176+AC177+AC181+AC182</f>
        <v>81.196257000000017</v>
      </c>
      <c r="AD175" s="52">
        <v>69.431393</v>
      </c>
      <c r="AE175" s="52">
        <v>108.91067300000002</v>
      </c>
    </row>
    <row r="176" spans="1:31" s="55" customFormat="1" x14ac:dyDescent="0.35">
      <c r="A176" s="57">
        <v>173</v>
      </c>
      <c r="B176" s="35"/>
      <c r="C176" s="35"/>
      <c r="D176" s="46" t="s">
        <v>10</v>
      </c>
      <c r="E176" s="46" t="s">
        <v>18</v>
      </c>
      <c r="F176" s="55">
        <v>7.353244000000001</v>
      </c>
      <c r="G176" s="55">
        <v>8.6551189999999885</v>
      </c>
      <c r="H176" s="55">
        <v>12.895189999999985</v>
      </c>
      <c r="I176" s="55">
        <v>16.425734000000006</v>
      </c>
      <c r="J176" s="55">
        <v>60.347387999999995</v>
      </c>
      <c r="K176" s="55">
        <v>60.880741999999998</v>
      </c>
      <c r="L176" s="55">
        <v>53.440734999999989</v>
      </c>
      <c r="M176" s="55">
        <v>48.917406</v>
      </c>
      <c r="N176" s="55">
        <v>27.929925999999995</v>
      </c>
      <c r="O176" s="55">
        <v>27.671546000000006</v>
      </c>
      <c r="P176" s="55">
        <v>33.401168000000013</v>
      </c>
      <c r="Q176" s="55">
        <v>47.694446999999997</v>
      </c>
      <c r="R176" s="55">
        <v>56.813891999999996</v>
      </c>
      <c r="S176" s="55">
        <v>84.929952999999998</v>
      </c>
      <c r="T176" s="55">
        <v>104.033333</v>
      </c>
      <c r="U176" s="55">
        <v>112.52333299999999</v>
      </c>
      <c r="V176" s="55">
        <v>98.944785000000024</v>
      </c>
      <c r="W176" s="55">
        <v>124.46308400000001</v>
      </c>
      <c r="X176" s="55">
        <v>111.63052200000003</v>
      </c>
      <c r="Y176" s="55">
        <v>105.46644199999997</v>
      </c>
      <c r="Z176" s="55">
        <v>83.31923500000002</v>
      </c>
      <c r="AA176" s="55">
        <v>93.751662000000024</v>
      </c>
      <c r="AB176" s="55">
        <v>88.743964000000005</v>
      </c>
      <c r="AC176" s="55">
        <v>80.796257000000011</v>
      </c>
      <c r="AD176" s="55">
        <v>69.031392999999994</v>
      </c>
      <c r="AE176" s="55">
        <v>69.175893000000016</v>
      </c>
    </row>
    <row r="177" spans="1:31" s="54" customFormat="1" x14ac:dyDescent="0.35">
      <c r="A177" s="57">
        <v>174</v>
      </c>
      <c r="B177" s="35"/>
      <c r="C177" s="35"/>
      <c r="D177" s="46" t="s">
        <v>11</v>
      </c>
      <c r="E177" s="46" t="s">
        <v>0</v>
      </c>
      <c r="F177" s="54">
        <f t="shared" ref="F177" si="262">SUM(F178:F180)</f>
        <v>4.519674000000002</v>
      </c>
      <c r="G177" s="54">
        <f t="shared" ref="G177:H177" si="263">SUM(G178:G180)</f>
        <v>4.3710769999999997</v>
      </c>
      <c r="H177" s="54">
        <f t="shared" si="263"/>
        <v>0.5336559999999988</v>
      </c>
      <c r="I177" s="54">
        <f t="shared" ref="I177" si="264">SUM(I178:I180)</f>
        <v>0.21514200000000017</v>
      </c>
      <c r="J177" s="54">
        <f t="shared" ref="J177:K177" si="265">SUM(J178:J180)</f>
        <v>0</v>
      </c>
      <c r="K177" s="54">
        <f t="shared" si="265"/>
        <v>0</v>
      </c>
      <c r="L177" s="54">
        <f t="shared" ref="L177:AB177" si="266">SUM(L178:L180)</f>
        <v>0</v>
      </c>
      <c r="M177" s="54">
        <f t="shared" si="266"/>
        <v>0</v>
      </c>
      <c r="N177" s="54">
        <f t="shared" si="266"/>
        <v>0</v>
      </c>
      <c r="O177" s="54">
        <f t="shared" si="266"/>
        <v>0</v>
      </c>
      <c r="P177" s="54">
        <f t="shared" si="266"/>
        <v>0</v>
      </c>
      <c r="Q177" s="54">
        <f t="shared" si="266"/>
        <v>0</v>
      </c>
      <c r="R177" s="54">
        <f t="shared" si="266"/>
        <v>0</v>
      </c>
      <c r="S177" s="54">
        <f t="shared" si="266"/>
        <v>0</v>
      </c>
      <c r="T177" s="54">
        <f t="shared" si="266"/>
        <v>0</v>
      </c>
      <c r="U177" s="54">
        <f t="shared" si="266"/>
        <v>0</v>
      </c>
      <c r="V177" s="54">
        <f t="shared" si="266"/>
        <v>3.1903230000000002</v>
      </c>
      <c r="W177" s="54">
        <f t="shared" si="266"/>
        <v>2.1086670000000001</v>
      </c>
      <c r="X177" s="54">
        <f t="shared" si="266"/>
        <v>1.7544850000000001</v>
      </c>
      <c r="Y177" s="54">
        <f t="shared" si="266"/>
        <v>6.7376950000000004</v>
      </c>
      <c r="Z177" s="54">
        <f t="shared" si="266"/>
        <v>0.87519999999999998</v>
      </c>
      <c r="AA177" s="54">
        <f t="shared" si="266"/>
        <v>1.8089</v>
      </c>
      <c r="AB177" s="54">
        <f t="shared" si="266"/>
        <v>1.7930999999999999</v>
      </c>
      <c r="AC177" s="54">
        <f t="shared" ref="AC177" si="267">SUM(AC178:AC180)</f>
        <v>0.4</v>
      </c>
      <c r="AD177" s="54">
        <v>0.4</v>
      </c>
      <c r="AE177" s="54">
        <v>39.734780000000001</v>
      </c>
    </row>
    <row r="178" spans="1:31" s="55" customFormat="1" x14ac:dyDescent="0.35">
      <c r="A178" s="57">
        <v>175</v>
      </c>
      <c r="B178" s="35"/>
      <c r="C178" s="35"/>
      <c r="D178" s="47" t="s">
        <v>21</v>
      </c>
      <c r="E178" s="47" t="s">
        <v>20</v>
      </c>
      <c r="F178" s="55">
        <v>4.519674000000002</v>
      </c>
      <c r="G178" s="55">
        <v>4.3710769999999997</v>
      </c>
      <c r="H178" s="55">
        <v>0.5336559999999988</v>
      </c>
      <c r="I178" s="55">
        <v>0.21514200000000017</v>
      </c>
      <c r="J178" s="55">
        <v>0</v>
      </c>
      <c r="K178" s="55">
        <v>0</v>
      </c>
      <c r="L178" s="55">
        <v>0</v>
      </c>
      <c r="M178" s="55">
        <v>0</v>
      </c>
      <c r="N178" s="55">
        <v>0</v>
      </c>
      <c r="O178" s="55">
        <v>0</v>
      </c>
      <c r="P178" s="55">
        <v>0</v>
      </c>
      <c r="Q178" s="55">
        <v>0</v>
      </c>
      <c r="R178" s="55">
        <v>0</v>
      </c>
      <c r="S178" s="55">
        <v>0</v>
      </c>
      <c r="T178" s="55">
        <v>0</v>
      </c>
      <c r="U178" s="55">
        <v>0</v>
      </c>
      <c r="V178" s="55">
        <v>3.1903230000000002</v>
      </c>
      <c r="W178" s="55">
        <v>2.1086670000000001</v>
      </c>
      <c r="X178" s="55">
        <v>1.7544850000000001</v>
      </c>
      <c r="Y178" s="55">
        <v>6.7376950000000004</v>
      </c>
      <c r="Z178" s="55">
        <v>0.87519999999999998</v>
      </c>
      <c r="AA178" s="55">
        <v>1.8089</v>
      </c>
      <c r="AB178" s="55">
        <v>1.7930999999999999</v>
      </c>
      <c r="AC178" s="55">
        <v>0.4</v>
      </c>
      <c r="AD178" s="55">
        <v>0.4</v>
      </c>
      <c r="AE178" s="55">
        <v>39.734780000000001</v>
      </c>
    </row>
    <row r="179" spans="1:31" s="58" customFormat="1" x14ac:dyDescent="0.35">
      <c r="A179" s="57">
        <v>176</v>
      </c>
      <c r="B179" s="35"/>
      <c r="C179" s="35"/>
      <c r="D179" s="47" t="s">
        <v>12</v>
      </c>
      <c r="E179" s="47" t="s">
        <v>22</v>
      </c>
    </row>
    <row r="180" spans="1:31" s="55" customFormat="1" x14ac:dyDescent="0.35">
      <c r="A180" s="57">
        <v>177</v>
      </c>
      <c r="B180" s="35"/>
      <c r="C180" s="35"/>
      <c r="D180" s="47" t="s">
        <v>13</v>
      </c>
      <c r="E180" s="47" t="s">
        <v>23</v>
      </c>
      <c r="F180" s="55">
        <v>0</v>
      </c>
      <c r="G180" s="55">
        <v>0</v>
      </c>
      <c r="H180" s="55">
        <v>0</v>
      </c>
      <c r="I180" s="55">
        <v>0</v>
      </c>
      <c r="J180" s="55">
        <v>0</v>
      </c>
      <c r="K180" s="55">
        <v>0</v>
      </c>
      <c r="L180" s="55">
        <v>0</v>
      </c>
      <c r="M180" s="55">
        <v>0</v>
      </c>
      <c r="N180" s="55">
        <v>0</v>
      </c>
      <c r="O180" s="55">
        <v>0</v>
      </c>
      <c r="P180" s="55">
        <v>0</v>
      </c>
      <c r="Q180" s="55">
        <v>0</v>
      </c>
      <c r="R180" s="55">
        <v>0</v>
      </c>
      <c r="S180" s="55">
        <v>0</v>
      </c>
      <c r="T180" s="55">
        <v>0</v>
      </c>
      <c r="U180" s="55">
        <v>0</v>
      </c>
      <c r="V180" s="55">
        <v>0</v>
      </c>
      <c r="W180" s="55">
        <v>0</v>
      </c>
      <c r="X180" s="55">
        <v>0</v>
      </c>
      <c r="Y180" s="55">
        <v>0</v>
      </c>
      <c r="Z180" s="55">
        <v>0</v>
      </c>
      <c r="AA180" s="55">
        <v>0</v>
      </c>
      <c r="AB180" s="55">
        <v>0</v>
      </c>
      <c r="AC180" s="55">
        <v>0</v>
      </c>
      <c r="AD180" s="55">
        <v>0</v>
      </c>
      <c r="AE180" s="55">
        <v>0</v>
      </c>
    </row>
    <row r="181" spans="1:31" s="54" customFormat="1" x14ac:dyDescent="0.35">
      <c r="A181" s="57">
        <v>178</v>
      </c>
      <c r="B181" s="35"/>
      <c r="C181" s="35"/>
      <c r="D181" s="46" t="s">
        <v>1</v>
      </c>
      <c r="E181" s="46" t="s">
        <v>24</v>
      </c>
      <c r="F181" s="54">
        <v>0</v>
      </c>
      <c r="G181" s="54">
        <v>0</v>
      </c>
      <c r="H181" s="54">
        <v>0</v>
      </c>
      <c r="I181" s="54">
        <v>0</v>
      </c>
      <c r="J181" s="54">
        <v>0</v>
      </c>
      <c r="K181" s="54">
        <v>0</v>
      </c>
      <c r="L181" s="54">
        <v>0</v>
      </c>
      <c r="M181" s="54">
        <v>0</v>
      </c>
      <c r="N181" s="54">
        <v>0</v>
      </c>
      <c r="O181" s="54">
        <v>0</v>
      </c>
      <c r="P181" s="54">
        <v>0</v>
      </c>
      <c r="Q181" s="54">
        <v>0</v>
      </c>
      <c r="R181" s="54">
        <v>0</v>
      </c>
      <c r="S181" s="54">
        <v>0</v>
      </c>
      <c r="T181" s="54">
        <v>0</v>
      </c>
      <c r="U181" s="54">
        <v>0</v>
      </c>
      <c r="V181" s="54">
        <v>0</v>
      </c>
      <c r="W181" s="54">
        <v>0</v>
      </c>
      <c r="X181" s="54">
        <v>0</v>
      </c>
      <c r="Y181" s="54">
        <v>0</v>
      </c>
      <c r="Z181" s="54">
        <v>0</v>
      </c>
      <c r="AA181" s="54">
        <v>0</v>
      </c>
      <c r="AB181" s="54">
        <v>0</v>
      </c>
      <c r="AC181" s="54">
        <v>0</v>
      </c>
      <c r="AD181" s="54">
        <v>0</v>
      </c>
      <c r="AE181" s="54">
        <v>0</v>
      </c>
    </row>
    <row r="182" spans="1:31" s="54" customFormat="1" x14ac:dyDescent="0.35">
      <c r="A182" s="57">
        <v>179</v>
      </c>
      <c r="B182" s="35"/>
      <c r="C182" s="35"/>
      <c r="D182" s="46" t="s">
        <v>25</v>
      </c>
      <c r="E182" s="46" t="s">
        <v>26</v>
      </c>
      <c r="F182" s="54">
        <v>0</v>
      </c>
      <c r="G182" s="54">
        <v>0</v>
      </c>
      <c r="H182" s="54">
        <v>0</v>
      </c>
      <c r="I182" s="54">
        <v>0</v>
      </c>
      <c r="J182" s="54">
        <v>0</v>
      </c>
      <c r="K182" s="54">
        <v>0</v>
      </c>
      <c r="L182" s="54">
        <v>0</v>
      </c>
      <c r="M182" s="54">
        <v>0</v>
      </c>
      <c r="N182" s="54">
        <v>0</v>
      </c>
      <c r="O182" s="54">
        <v>0</v>
      </c>
      <c r="P182" s="54">
        <v>0</v>
      </c>
      <c r="Q182" s="54">
        <v>0</v>
      </c>
      <c r="R182" s="54">
        <v>0</v>
      </c>
      <c r="S182" s="54">
        <v>0</v>
      </c>
      <c r="T182" s="54">
        <v>0</v>
      </c>
      <c r="U182" s="54">
        <v>0</v>
      </c>
      <c r="V182" s="54">
        <v>0</v>
      </c>
      <c r="W182" s="54">
        <v>0</v>
      </c>
      <c r="X182" s="54">
        <v>0</v>
      </c>
      <c r="Y182" s="54">
        <v>0</v>
      </c>
      <c r="Z182" s="54">
        <v>0</v>
      </c>
      <c r="AA182" s="54">
        <v>0</v>
      </c>
      <c r="AB182" s="54">
        <v>0</v>
      </c>
      <c r="AC182" s="54">
        <v>0</v>
      </c>
      <c r="AD182" s="54">
        <v>0</v>
      </c>
      <c r="AE182" s="54">
        <v>0</v>
      </c>
    </row>
    <row r="183" spans="1:31" s="52" customFormat="1" ht="15.5" x14ac:dyDescent="0.35">
      <c r="A183" s="57">
        <v>180</v>
      </c>
      <c r="B183" s="35"/>
      <c r="C183" s="35"/>
      <c r="D183" s="45" t="s">
        <v>15</v>
      </c>
      <c r="E183" s="45" t="s">
        <v>17</v>
      </c>
      <c r="F183" s="52">
        <v>0</v>
      </c>
      <c r="G183" s="52">
        <v>85.046304999999975</v>
      </c>
      <c r="H183" s="52">
        <v>62.000318999999983</v>
      </c>
      <c r="I183" s="52">
        <v>57.821208000000006</v>
      </c>
      <c r="J183" s="52">
        <v>8.4098000000001338E-2</v>
      </c>
      <c r="K183" s="52">
        <v>8.7184999999994961E-2</v>
      </c>
      <c r="L183" s="52">
        <v>8.4761000000004305E-2</v>
      </c>
      <c r="M183" s="52">
        <v>8.6145000000005911E-2</v>
      </c>
      <c r="N183" s="52">
        <v>9.0837999999994867E-2</v>
      </c>
      <c r="O183" s="52">
        <v>9.084399999999393E-2</v>
      </c>
      <c r="P183" s="52">
        <v>1.4529000000000014E-2</v>
      </c>
      <c r="Q183" s="52">
        <v>1.4529000000000014E-2</v>
      </c>
      <c r="R183" s="52">
        <v>1.4529000000000014E-2</v>
      </c>
      <c r="S183" s="52">
        <v>1.4529000000000014E-2</v>
      </c>
      <c r="T183" s="52">
        <v>1.4529000000000014E-2</v>
      </c>
      <c r="U183" s="52">
        <v>1.4529000000000014E-2</v>
      </c>
      <c r="V183" s="52">
        <v>6.1282889999999988</v>
      </c>
      <c r="W183" s="52">
        <v>9.6441459999999957</v>
      </c>
      <c r="X183" s="52">
        <v>9.6720330000000025</v>
      </c>
      <c r="Y183" s="52">
        <v>9.4125629999999951</v>
      </c>
      <c r="Z183" s="52">
        <v>17.965922999999993</v>
      </c>
      <c r="AA183" s="52">
        <v>9.1028680000000044</v>
      </c>
      <c r="AB183" s="52">
        <v>17.807272000000001</v>
      </c>
      <c r="AC183" s="52">
        <v>18.050614999999993</v>
      </c>
      <c r="AD183" s="52">
        <v>21.787603000000004</v>
      </c>
      <c r="AE183" s="52">
        <v>21.937677999999991</v>
      </c>
    </row>
    <row r="184" spans="1:31" s="51" customFormat="1" ht="9" customHeight="1" x14ac:dyDescent="0.35">
      <c r="A184" s="57">
        <v>181</v>
      </c>
      <c r="B184" s="35"/>
      <c r="C184" s="35"/>
      <c r="D184" s="49"/>
      <c r="E184" s="49"/>
      <c r="F184" s="51">
        <v>0</v>
      </c>
      <c r="G184" s="51">
        <v>0</v>
      </c>
      <c r="H184" s="51">
        <v>0</v>
      </c>
      <c r="I184" s="51">
        <v>0</v>
      </c>
      <c r="J184" s="51">
        <v>0</v>
      </c>
      <c r="K184" s="51">
        <v>0</v>
      </c>
      <c r="L184" s="51">
        <v>0</v>
      </c>
      <c r="M184" s="51">
        <v>0</v>
      </c>
      <c r="N184" s="51">
        <v>0</v>
      </c>
      <c r="O184" s="51">
        <v>0</v>
      </c>
      <c r="P184" s="51">
        <v>0</v>
      </c>
      <c r="Q184" s="51">
        <v>0</v>
      </c>
      <c r="R184" s="51">
        <v>0</v>
      </c>
      <c r="S184" s="51">
        <v>0</v>
      </c>
      <c r="T184" s="51">
        <v>0</v>
      </c>
      <c r="U184" s="51">
        <v>0</v>
      </c>
      <c r="V184" s="51">
        <v>0</v>
      </c>
      <c r="W184" s="51">
        <v>0</v>
      </c>
      <c r="X184" s="51">
        <v>0</v>
      </c>
      <c r="Y184" s="51">
        <v>0</v>
      </c>
      <c r="Z184" s="51">
        <v>0</v>
      </c>
      <c r="AA184" s="51">
        <v>0</v>
      </c>
      <c r="AB184" s="51">
        <v>0</v>
      </c>
      <c r="AC184" s="51">
        <v>0</v>
      </c>
      <c r="AD184" s="51">
        <v>0</v>
      </c>
      <c r="AE184" s="51">
        <v>0</v>
      </c>
    </row>
    <row r="185" spans="1:31" s="56" customFormat="1" ht="35.15" customHeight="1" x14ac:dyDescent="0.45">
      <c r="A185" s="57">
        <v>182</v>
      </c>
      <c r="B185" s="50" t="s">
        <v>37</v>
      </c>
      <c r="C185" s="42"/>
      <c r="D185" s="42"/>
      <c r="E185" s="35"/>
    </row>
    <row r="186" spans="1:31" s="56" customFormat="1" ht="26.15" customHeight="1" x14ac:dyDescent="0.45">
      <c r="A186" s="57">
        <v>183</v>
      </c>
      <c r="B186" s="42"/>
      <c r="C186" s="44" t="s">
        <v>6</v>
      </c>
      <c r="D186" s="44"/>
      <c r="E186" s="35"/>
    </row>
    <row r="187" spans="1:31" s="52" customFormat="1" ht="18" customHeight="1" x14ac:dyDescent="0.35">
      <c r="A187" s="57">
        <v>184</v>
      </c>
      <c r="B187" s="35"/>
      <c r="C187" s="35"/>
      <c r="D187" s="45" t="s">
        <v>9</v>
      </c>
      <c r="E187" s="45" t="s">
        <v>30</v>
      </c>
      <c r="F187" s="52">
        <f t="shared" ref="F187:K187" si="268">F188+F189+F193+F194</f>
        <v>760.90809507000006</v>
      </c>
      <c r="G187" s="52">
        <f t="shared" si="268"/>
        <v>742.36603624000008</v>
      </c>
      <c r="H187" s="52">
        <f t="shared" si="268"/>
        <v>676.65773862000003</v>
      </c>
      <c r="I187" s="52">
        <f t="shared" si="268"/>
        <v>510.28313735999996</v>
      </c>
      <c r="J187" s="52">
        <f t="shared" si="268"/>
        <v>577.09396347000006</v>
      </c>
      <c r="K187" s="52">
        <f t="shared" si="268"/>
        <v>551.43426642999998</v>
      </c>
      <c r="L187" s="52">
        <f t="shared" ref="L187:AB187" si="269">L188+L189+L193+L194</f>
        <v>572.31354238000006</v>
      </c>
      <c r="M187" s="52">
        <f t="shared" si="269"/>
        <v>572.94208330000004</v>
      </c>
      <c r="N187" s="52">
        <f t="shared" si="269"/>
        <v>547.87075938999999</v>
      </c>
      <c r="O187" s="52">
        <f t="shared" si="269"/>
        <v>531.96348369999998</v>
      </c>
      <c r="P187" s="52">
        <f t="shared" si="269"/>
        <v>541.7098778699999</v>
      </c>
      <c r="Q187" s="52">
        <f t="shared" si="269"/>
        <v>574.38083126000004</v>
      </c>
      <c r="R187" s="52">
        <f t="shared" si="269"/>
        <v>571.51618686999996</v>
      </c>
      <c r="S187" s="52">
        <f t="shared" si="269"/>
        <v>557.31622996999999</v>
      </c>
      <c r="T187" s="52">
        <f t="shared" si="269"/>
        <v>530.62064574999999</v>
      </c>
      <c r="U187" s="52">
        <f t="shared" si="269"/>
        <v>556.96937150000008</v>
      </c>
      <c r="V187" s="52">
        <f t="shared" si="269"/>
        <v>477.18834899999996</v>
      </c>
      <c r="W187" s="52">
        <f t="shared" si="269"/>
        <v>464.22737442000005</v>
      </c>
      <c r="X187" s="52">
        <f t="shared" si="269"/>
        <v>513.17478859999994</v>
      </c>
      <c r="Y187" s="52">
        <f t="shared" si="269"/>
        <v>550.94741093000005</v>
      </c>
      <c r="Z187" s="52">
        <f t="shared" si="269"/>
        <v>573.21504731999994</v>
      </c>
      <c r="AA187" s="52">
        <f t="shared" si="269"/>
        <v>549.84559388000014</v>
      </c>
      <c r="AB187" s="52">
        <f t="shared" si="269"/>
        <v>497.21207272999999</v>
      </c>
      <c r="AC187" s="52">
        <f t="shared" ref="AC187" si="270">AC188+AC189+AC193+AC194</f>
        <v>554.497517767418</v>
      </c>
      <c r="AD187" s="52">
        <v>530.71831961383998</v>
      </c>
      <c r="AE187" s="52">
        <v>535.47387230561299</v>
      </c>
    </row>
    <row r="188" spans="1:31" s="54" customFormat="1" x14ac:dyDescent="0.35">
      <c r="A188" s="57">
        <v>185</v>
      </c>
      <c r="B188" s="35"/>
      <c r="C188" s="35"/>
      <c r="D188" s="46" t="s">
        <v>10</v>
      </c>
      <c r="E188" s="46" t="s">
        <v>18</v>
      </c>
      <c r="F188" s="54">
        <v>0</v>
      </c>
      <c r="G188" s="54">
        <v>0</v>
      </c>
      <c r="H188" s="54">
        <v>0</v>
      </c>
      <c r="I188" s="54">
        <v>0</v>
      </c>
      <c r="J188" s="54">
        <v>0</v>
      </c>
      <c r="K188" s="54">
        <v>0</v>
      </c>
      <c r="L188" s="54">
        <v>0</v>
      </c>
      <c r="M188" s="54">
        <v>0</v>
      </c>
      <c r="N188" s="54">
        <v>0</v>
      </c>
      <c r="O188" s="54">
        <v>0</v>
      </c>
      <c r="P188" s="54">
        <v>0</v>
      </c>
      <c r="Q188" s="54">
        <v>0</v>
      </c>
      <c r="R188" s="54">
        <v>0</v>
      </c>
      <c r="S188" s="54">
        <v>0</v>
      </c>
      <c r="T188" s="54">
        <v>0</v>
      </c>
      <c r="U188" s="54">
        <v>0</v>
      </c>
      <c r="V188" s="54">
        <v>0</v>
      </c>
      <c r="W188" s="54">
        <v>0</v>
      </c>
      <c r="X188" s="54">
        <v>0</v>
      </c>
      <c r="Y188" s="54">
        <v>0</v>
      </c>
      <c r="Z188" s="54">
        <v>0</v>
      </c>
      <c r="AA188" s="54">
        <v>0</v>
      </c>
      <c r="AB188" s="54">
        <v>0</v>
      </c>
      <c r="AC188" s="54">
        <v>0</v>
      </c>
      <c r="AD188" s="54">
        <v>0</v>
      </c>
      <c r="AE188" s="54">
        <v>0</v>
      </c>
    </row>
    <row r="189" spans="1:31" s="54" customFormat="1" x14ac:dyDescent="0.35">
      <c r="A189" s="57">
        <v>186</v>
      </c>
      <c r="B189" s="35"/>
      <c r="C189" s="35"/>
      <c r="D189" s="46" t="s">
        <v>11</v>
      </c>
      <c r="E189" s="46" t="s">
        <v>0</v>
      </c>
      <c r="F189" s="54">
        <f t="shared" ref="F189:K189" si="271">SUM(F190:F192)</f>
        <v>760.90809507000006</v>
      </c>
      <c r="G189" s="54">
        <f t="shared" si="271"/>
        <v>742.36603624000008</v>
      </c>
      <c r="H189" s="54">
        <f t="shared" si="271"/>
        <v>676.65773862000003</v>
      </c>
      <c r="I189" s="54">
        <f t="shared" si="271"/>
        <v>510.28313735999996</v>
      </c>
      <c r="J189" s="54">
        <f t="shared" si="271"/>
        <v>577.09396347000006</v>
      </c>
      <c r="K189" s="54">
        <f t="shared" si="271"/>
        <v>551.43426642999998</v>
      </c>
      <c r="L189" s="54">
        <f t="shared" ref="L189:AB189" si="272">SUM(L190:L192)</f>
        <v>572.31354238000006</v>
      </c>
      <c r="M189" s="54">
        <f t="shared" si="272"/>
        <v>572.94208330000004</v>
      </c>
      <c r="N189" s="54">
        <f t="shared" si="272"/>
        <v>547.87075938999999</v>
      </c>
      <c r="O189" s="54">
        <f t="shared" si="272"/>
        <v>531.96348369999998</v>
      </c>
      <c r="P189" s="54">
        <f t="shared" si="272"/>
        <v>541.7098778699999</v>
      </c>
      <c r="Q189" s="54">
        <f t="shared" si="272"/>
        <v>574.38083126000004</v>
      </c>
      <c r="R189" s="54">
        <f t="shared" si="272"/>
        <v>571.51618686999996</v>
      </c>
      <c r="S189" s="54">
        <f t="shared" si="272"/>
        <v>557.31622996999999</v>
      </c>
      <c r="T189" s="54">
        <f t="shared" si="272"/>
        <v>530.62064574999999</v>
      </c>
      <c r="U189" s="54">
        <f t="shared" si="272"/>
        <v>556.96937150000008</v>
      </c>
      <c r="V189" s="54">
        <f t="shared" si="272"/>
        <v>477.18834899999996</v>
      </c>
      <c r="W189" s="54">
        <f t="shared" si="272"/>
        <v>464.22737442000005</v>
      </c>
      <c r="X189" s="54">
        <f t="shared" si="272"/>
        <v>513.17478859999994</v>
      </c>
      <c r="Y189" s="54">
        <f t="shared" si="272"/>
        <v>550.94741093000005</v>
      </c>
      <c r="Z189" s="54">
        <f t="shared" si="272"/>
        <v>573.21504731999994</v>
      </c>
      <c r="AA189" s="54">
        <f t="shared" si="272"/>
        <v>549.84559388000014</v>
      </c>
      <c r="AB189" s="54">
        <f t="shared" si="272"/>
        <v>497.21207272999999</v>
      </c>
      <c r="AC189" s="54">
        <f t="shared" ref="AC189" si="273">SUM(AC190:AC192)</f>
        <v>554.497517767418</v>
      </c>
      <c r="AD189" s="54">
        <v>530.71831961383998</v>
      </c>
      <c r="AE189" s="54">
        <v>535.47387230561299</v>
      </c>
    </row>
    <row r="190" spans="1:31" s="55" customFormat="1" x14ac:dyDescent="0.35">
      <c r="A190" s="57">
        <v>187</v>
      </c>
      <c r="B190" s="35"/>
      <c r="C190" s="35"/>
      <c r="D190" s="47" t="s">
        <v>21</v>
      </c>
      <c r="E190" s="47" t="s">
        <v>20</v>
      </c>
      <c r="F190" s="55">
        <v>760.90809507000006</v>
      </c>
      <c r="G190" s="55">
        <v>742.36603624000008</v>
      </c>
      <c r="H190" s="55">
        <v>676.65773862000003</v>
      </c>
      <c r="I190" s="55">
        <v>510.28313735999996</v>
      </c>
      <c r="J190" s="55">
        <v>577.09396347000006</v>
      </c>
      <c r="K190" s="55">
        <v>551.43426642999998</v>
      </c>
      <c r="L190" s="55">
        <v>572.31354238000006</v>
      </c>
      <c r="M190" s="55">
        <v>572.94208330000004</v>
      </c>
      <c r="N190" s="55">
        <v>547.87075938999999</v>
      </c>
      <c r="O190" s="55">
        <v>531.96348369999998</v>
      </c>
      <c r="P190" s="55">
        <v>541.7098778699999</v>
      </c>
      <c r="Q190" s="55">
        <v>574.38083126000004</v>
      </c>
      <c r="R190" s="55">
        <v>571.51618686999996</v>
      </c>
      <c r="S190" s="55">
        <v>557.31622996999999</v>
      </c>
      <c r="T190" s="55">
        <v>530.62064574999999</v>
      </c>
      <c r="U190" s="55">
        <v>556.96937150000008</v>
      </c>
      <c r="V190" s="55">
        <v>477.18834899999996</v>
      </c>
      <c r="W190" s="55">
        <v>464.22737442000005</v>
      </c>
      <c r="X190" s="55">
        <v>513.17478859999994</v>
      </c>
      <c r="Y190" s="55">
        <v>550.94741093000005</v>
      </c>
      <c r="Z190" s="55">
        <v>573.21504731999994</v>
      </c>
      <c r="AA190" s="55">
        <v>549.84559388000014</v>
      </c>
      <c r="AB190" s="55">
        <v>497.21207272999999</v>
      </c>
      <c r="AC190" s="55">
        <v>554.497517767418</v>
      </c>
      <c r="AD190" s="55">
        <v>530.71831961383998</v>
      </c>
      <c r="AE190" s="55">
        <v>535.47387230561299</v>
      </c>
    </row>
    <row r="191" spans="1:31" s="55" customFormat="1" x14ac:dyDescent="0.35">
      <c r="A191" s="57">
        <v>188</v>
      </c>
      <c r="B191" s="35"/>
      <c r="C191" s="35"/>
      <c r="D191" s="47" t="s">
        <v>12</v>
      </c>
      <c r="E191" s="47" t="s">
        <v>22</v>
      </c>
      <c r="F191" s="55">
        <v>0</v>
      </c>
      <c r="G191" s="55">
        <v>0</v>
      </c>
      <c r="H191" s="55">
        <v>0</v>
      </c>
      <c r="I191" s="55">
        <v>0</v>
      </c>
      <c r="J191" s="55">
        <v>0</v>
      </c>
      <c r="K191" s="55">
        <v>0</v>
      </c>
      <c r="L191" s="55">
        <v>0</v>
      </c>
      <c r="M191" s="55">
        <v>0</v>
      </c>
      <c r="N191" s="55">
        <v>0</v>
      </c>
      <c r="O191" s="55">
        <v>0</v>
      </c>
      <c r="P191" s="55">
        <v>0</v>
      </c>
      <c r="Q191" s="55">
        <v>0</v>
      </c>
      <c r="R191" s="55">
        <v>0</v>
      </c>
      <c r="S191" s="55">
        <v>0</v>
      </c>
      <c r="T191" s="55">
        <v>0</v>
      </c>
      <c r="U191" s="55">
        <v>0</v>
      </c>
      <c r="V191" s="55">
        <v>0</v>
      </c>
      <c r="W191" s="55">
        <v>0</v>
      </c>
      <c r="X191" s="55">
        <v>0</v>
      </c>
      <c r="Y191" s="55">
        <v>0</v>
      </c>
      <c r="Z191" s="55">
        <v>0</v>
      </c>
      <c r="AA191" s="55">
        <v>0</v>
      </c>
      <c r="AB191" s="55">
        <v>0</v>
      </c>
      <c r="AC191" s="55">
        <v>0</v>
      </c>
      <c r="AD191" s="55">
        <v>0</v>
      </c>
      <c r="AE191" s="55">
        <v>0</v>
      </c>
    </row>
    <row r="192" spans="1:31" s="58" customFormat="1" x14ac:dyDescent="0.35">
      <c r="A192" s="57">
        <v>189</v>
      </c>
      <c r="B192" s="35"/>
      <c r="C192" s="35"/>
      <c r="D192" s="47" t="s">
        <v>13</v>
      </c>
      <c r="E192" s="47" t="s">
        <v>23</v>
      </c>
    </row>
    <row r="193" spans="1:31" s="55" customFormat="1" x14ac:dyDescent="0.35">
      <c r="A193" s="57">
        <v>190</v>
      </c>
      <c r="B193" s="35"/>
      <c r="C193" s="35"/>
      <c r="D193" s="46" t="s">
        <v>14</v>
      </c>
      <c r="E193" s="46" t="s">
        <v>24</v>
      </c>
      <c r="F193" s="55">
        <v>0</v>
      </c>
      <c r="G193" s="55">
        <v>0</v>
      </c>
      <c r="H193" s="55">
        <v>0</v>
      </c>
      <c r="I193" s="55">
        <v>0</v>
      </c>
      <c r="J193" s="55">
        <v>0</v>
      </c>
      <c r="K193" s="55">
        <v>0</v>
      </c>
      <c r="L193" s="55">
        <v>0</v>
      </c>
      <c r="M193" s="55">
        <v>0</v>
      </c>
      <c r="N193" s="55">
        <v>0</v>
      </c>
      <c r="O193" s="55">
        <v>0</v>
      </c>
      <c r="P193" s="55">
        <v>0</v>
      </c>
      <c r="Q193" s="55">
        <v>0</v>
      </c>
      <c r="R193" s="55">
        <v>0</v>
      </c>
      <c r="S193" s="55">
        <v>0</v>
      </c>
      <c r="T193" s="55">
        <v>0</v>
      </c>
      <c r="U193" s="55">
        <v>0</v>
      </c>
      <c r="V193" s="55">
        <v>0</v>
      </c>
      <c r="W193" s="55">
        <v>0</v>
      </c>
      <c r="X193" s="55">
        <v>0</v>
      </c>
      <c r="Y193" s="55">
        <v>0</v>
      </c>
      <c r="Z193" s="55">
        <v>0</v>
      </c>
      <c r="AA193" s="55">
        <v>0</v>
      </c>
      <c r="AB193" s="55">
        <v>0</v>
      </c>
      <c r="AC193" s="55">
        <v>0</v>
      </c>
      <c r="AD193" s="55">
        <v>0</v>
      </c>
      <c r="AE193" s="55">
        <v>0</v>
      </c>
    </row>
    <row r="194" spans="1:31" s="55" customFormat="1" x14ac:dyDescent="0.35">
      <c r="A194" s="57">
        <v>191</v>
      </c>
      <c r="B194" s="35"/>
      <c r="C194" s="35"/>
      <c r="D194" s="46" t="s">
        <v>25</v>
      </c>
      <c r="E194" s="46" t="s">
        <v>26</v>
      </c>
      <c r="F194" s="55">
        <v>0</v>
      </c>
      <c r="G194" s="55">
        <v>0</v>
      </c>
      <c r="H194" s="55">
        <v>0</v>
      </c>
      <c r="I194" s="55">
        <v>0</v>
      </c>
      <c r="J194" s="55">
        <v>0</v>
      </c>
      <c r="K194" s="55">
        <v>0</v>
      </c>
      <c r="L194" s="55">
        <v>0</v>
      </c>
      <c r="M194" s="55">
        <v>0</v>
      </c>
      <c r="N194" s="55">
        <v>0</v>
      </c>
      <c r="O194" s="55">
        <v>0</v>
      </c>
      <c r="P194" s="55">
        <v>0</v>
      </c>
      <c r="Q194" s="55">
        <v>0</v>
      </c>
      <c r="R194" s="55">
        <v>0</v>
      </c>
      <c r="S194" s="55">
        <v>0</v>
      </c>
      <c r="T194" s="55">
        <v>0</v>
      </c>
      <c r="U194" s="55">
        <v>0</v>
      </c>
      <c r="V194" s="55">
        <v>0</v>
      </c>
      <c r="W194" s="55">
        <v>0</v>
      </c>
      <c r="X194" s="55">
        <v>0</v>
      </c>
      <c r="Y194" s="55">
        <v>0</v>
      </c>
      <c r="Z194" s="55">
        <v>0</v>
      </c>
      <c r="AA194" s="55">
        <v>0</v>
      </c>
      <c r="AB194" s="55">
        <v>0</v>
      </c>
      <c r="AC194" s="55">
        <v>0</v>
      </c>
      <c r="AD194" s="55">
        <v>0</v>
      </c>
      <c r="AE194" s="55">
        <v>0</v>
      </c>
    </row>
    <row r="195" spans="1:31" s="52" customFormat="1" ht="15.5" x14ac:dyDescent="0.35">
      <c r="A195" s="57">
        <v>192</v>
      </c>
      <c r="B195" s="35"/>
      <c r="C195" s="35"/>
      <c r="D195" s="45" t="s">
        <v>15</v>
      </c>
      <c r="E195" s="45" t="s">
        <v>17</v>
      </c>
      <c r="F195" s="52">
        <v>4.7368314399999996</v>
      </c>
      <c r="G195" s="52">
        <v>2.4981522599999999</v>
      </c>
      <c r="H195" s="52">
        <v>0.12308761999999999</v>
      </c>
      <c r="I195" s="52">
        <v>1.1324092599999998</v>
      </c>
      <c r="J195" s="52">
        <v>0.16821760999999999</v>
      </c>
      <c r="K195" s="52">
        <v>0.8012173199999999</v>
      </c>
      <c r="L195" s="52">
        <v>8.8466139999999999E-2</v>
      </c>
      <c r="M195" s="52">
        <v>0.14567733999999999</v>
      </c>
      <c r="N195" s="52">
        <v>0.15099140999999999</v>
      </c>
      <c r="O195" s="52">
        <v>0.10172059</v>
      </c>
      <c r="P195" s="52">
        <v>7.071986999999999E-2</v>
      </c>
      <c r="Q195" s="52">
        <v>6.9536600000000004E-2</v>
      </c>
      <c r="R195" s="52">
        <v>6.508651E-2</v>
      </c>
      <c r="S195" s="52">
        <v>6.356413000000001E-2</v>
      </c>
      <c r="T195" s="52">
        <v>0.24241494</v>
      </c>
      <c r="U195" s="52">
        <v>0.65922504000000004</v>
      </c>
      <c r="V195" s="52">
        <v>4.9757000000000003E-2</v>
      </c>
      <c r="W195" s="52">
        <v>4.8896000000000002E-2</v>
      </c>
      <c r="X195" s="52">
        <v>3.993E-3</v>
      </c>
      <c r="Y195" s="52">
        <v>1.8751E-2</v>
      </c>
      <c r="Z195" s="52">
        <v>4.2197999999999999E-2</v>
      </c>
      <c r="AA195" s="52">
        <v>0.89596700000000007</v>
      </c>
      <c r="AB195" s="52">
        <v>7.9704999999999998E-2</v>
      </c>
      <c r="AC195" s="52">
        <v>0.27457500000000001</v>
      </c>
      <c r="AD195" s="52">
        <v>7.4505000000000002E-2</v>
      </c>
      <c r="AE195" s="52">
        <v>0.78542999999999996</v>
      </c>
    </row>
    <row r="196" spans="1:31" s="51" customFormat="1" ht="9" customHeight="1" x14ac:dyDescent="0.35">
      <c r="A196" s="57">
        <v>193</v>
      </c>
      <c r="B196" s="35"/>
      <c r="C196" s="35"/>
      <c r="D196" s="49"/>
      <c r="E196" s="49"/>
      <c r="F196" s="51">
        <v>0</v>
      </c>
      <c r="G196" s="51">
        <v>0</v>
      </c>
      <c r="H196" s="51">
        <v>0</v>
      </c>
      <c r="I196" s="51">
        <v>0</v>
      </c>
      <c r="J196" s="51">
        <v>0</v>
      </c>
      <c r="K196" s="51">
        <v>0</v>
      </c>
      <c r="L196" s="51">
        <v>0</v>
      </c>
      <c r="M196" s="51">
        <v>0</v>
      </c>
      <c r="N196" s="51">
        <v>0</v>
      </c>
      <c r="O196" s="51">
        <v>0</v>
      </c>
      <c r="P196" s="51">
        <v>0</v>
      </c>
      <c r="Q196" s="51">
        <v>0</v>
      </c>
      <c r="R196" s="51">
        <v>0</v>
      </c>
      <c r="S196" s="51">
        <v>0</v>
      </c>
      <c r="T196" s="51">
        <v>0</v>
      </c>
      <c r="U196" s="51">
        <v>0</v>
      </c>
      <c r="V196" s="51">
        <v>0</v>
      </c>
      <c r="W196" s="51">
        <v>0</v>
      </c>
      <c r="X196" s="51">
        <v>0</v>
      </c>
      <c r="Y196" s="51">
        <v>0</v>
      </c>
      <c r="Z196" s="51">
        <v>0</v>
      </c>
      <c r="AA196" s="51">
        <v>0</v>
      </c>
      <c r="AB196" s="51">
        <v>0</v>
      </c>
      <c r="AC196" s="51">
        <v>0</v>
      </c>
      <c r="AD196" s="51">
        <v>0</v>
      </c>
      <c r="AE196" s="51">
        <v>0</v>
      </c>
    </row>
    <row r="197" spans="1:31" s="56" customFormat="1" ht="26.15" customHeight="1" x14ac:dyDescent="0.45">
      <c r="A197" s="57">
        <v>194</v>
      </c>
      <c r="B197" s="42"/>
      <c r="C197" s="44" t="s">
        <v>7</v>
      </c>
      <c r="D197" s="44"/>
      <c r="E197" s="35"/>
    </row>
    <row r="198" spans="1:31" s="52" customFormat="1" ht="18" customHeight="1" x14ac:dyDescent="0.35">
      <c r="A198" s="57">
        <v>195</v>
      </c>
      <c r="B198" s="35"/>
      <c r="C198" s="35"/>
      <c r="D198" s="45" t="s">
        <v>9</v>
      </c>
      <c r="E198" s="45" t="s">
        <v>30</v>
      </c>
      <c r="F198" s="52">
        <f t="shared" ref="F198" si="274">F199+F200+F204+F205</f>
        <v>661.59141958999999</v>
      </c>
      <c r="G198" s="52">
        <f t="shared" ref="G198:H198" si="275">G199+G200+G204+G205</f>
        <v>741.0412984300001</v>
      </c>
      <c r="H198" s="52">
        <f t="shared" si="275"/>
        <v>840.8544155400001</v>
      </c>
      <c r="I198" s="52">
        <f t="shared" ref="I198" si="276">I199+I200+I204+I205</f>
        <v>981.73978368000007</v>
      </c>
      <c r="J198" s="52">
        <f t="shared" ref="J198:K198" si="277">J199+J200+J204+J205</f>
        <v>992.97044664999999</v>
      </c>
      <c r="K198" s="52">
        <f t="shared" si="277"/>
        <v>1059.4618517399999</v>
      </c>
      <c r="L198" s="52">
        <f t="shared" ref="L198:AB198" si="278">L199+L200+L204+L205</f>
        <v>1060.9774118099999</v>
      </c>
      <c r="M198" s="52">
        <f t="shared" si="278"/>
        <v>1085.98151308</v>
      </c>
      <c r="N198" s="52">
        <f t="shared" si="278"/>
        <v>1168.90370592</v>
      </c>
      <c r="O198" s="52">
        <f t="shared" si="278"/>
        <v>1246.8149568600002</v>
      </c>
      <c r="P198" s="52">
        <f t="shared" si="278"/>
        <v>1290.26110165</v>
      </c>
      <c r="Q198" s="52">
        <f t="shared" si="278"/>
        <v>1361.16795763</v>
      </c>
      <c r="R198" s="52">
        <f t="shared" si="278"/>
        <v>1437.8517508800001</v>
      </c>
      <c r="S198" s="52">
        <f t="shared" si="278"/>
        <v>1492.72070403</v>
      </c>
      <c r="T198" s="52">
        <f t="shared" si="278"/>
        <v>1598.35132176</v>
      </c>
      <c r="U198" s="52">
        <f t="shared" si="278"/>
        <v>1724.07818118</v>
      </c>
      <c r="V198" s="52">
        <f t="shared" si="278"/>
        <v>1921.5121920899999</v>
      </c>
      <c r="W198" s="52">
        <f t="shared" si="278"/>
        <v>2006.1529503899999</v>
      </c>
      <c r="X198" s="52">
        <f t="shared" si="278"/>
        <v>2065.2166788200002</v>
      </c>
      <c r="Y198" s="52">
        <f t="shared" si="278"/>
        <v>2226.5040471500001</v>
      </c>
      <c r="Z198" s="52">
        <f t="shared" si="278"/>
        <v>2346.3448029500005</v>
      </c>
      <c r="AA198" s="52">
        <f t="shared" si="278"/>
        <v>2434.7554833935797</v>
      </c>
      <c r="AB198" s="52">
        <f t="shared" si="278"/>
        <v>2529.3550529299996</v>
      </c>
      <c r="AC198" s="52">
        <f t="shared" ref="AC198" si="279">AC199+AC200+AC204+AC205</f>
        <v>2629.4541096596085</v>
      </c>
      <c r="AD198" s="52">
        <v>2719.4457898157652</v>
      </c>
      <c r="AE198" s="52">
        <v>2791.1815630557353</v>
      </c>
    </row>
    <row r="199" spans="1:31" s="55" customFormat="1" x14ac:dyDescent="0.35">
      <c r="A199" s="57">
        <v>196</v>
      </c>
      <c r="B199" s="35"/>
      <c r="C199" s="35"/>
      <c r="D199" s="46" t="s">
        <v>10</v>
      </c>
      <c r="E199" s="46" t="s">
        <v>18</v>
      </c>
      <c r="F199" s="55">
        <v>0</v>
      </c>
      <c r="G199" s="55">
        <v>0</v>
      </c>
      <c r="H199" s="55">
        <v>0</v>
      </c>
      <c r="I199" s="55">
        <v>5.4450000000000003</v>
      </c>
      <c r="J199" s="55">
        <v>5.39</v>
      </c>
      <c r="K199" s="55">
        <v>6.2839600000000004</v>
      </c>
      <c r="L199" s="55">
        <v>6.2839600000000004</v>
      </c>
      <c r="M199" s="55">
        <v>0</v>
      </c>
      <c r="N199" s="55">
        <v>0</v>
      </c>
      <c r="O199" s="55">
        <v>0</v>
      </c>
      <c r="P199" s="55">
        <v>0</v>
      </c>
      <c r="Q199" s="55">
        <v>0</v>
      </c>
      <c r="R199" s="55">
        <v>0</v>
      </c>
      <c r="S199" s="55">
        <v>0</v>
      </c>
      <c r="T199" s="55">
        <v>0</v>
      </c>
      <c r="U199" s="55">
        <v>0</v>
      </c>
      <c r="V199" s="55">
        <v>0</v>
      </c>
      <c r="W199" s="55">
        <v>0</v>
      </c>
      <c r="X199" s="55">
        <v>0</v>
      </c>
      <c r="Y199" s="55">
        <v>0</v>
      </c>
      <c r="Z199" s="55">
        <v>0</v>
      </c>
      <c r="AA199" s="55">
        <v>0</v>
      </c>
      <c r="AB199" s="55">
        <v>0</v>
      </c>
      <c r="AC199" s="55">
        <v>0</v>
      </c>
      <c r="AD199" s="55">
        <v>0</v>
      </c>
      <c r="AE199" s="55">
        <v>0</v>
      </c>
    </row>
    <row r="200" spans="1:31" s="54" customFormat="1" x14ac:dyDescent="0.35">
      <c r="A200" s="57">
        <v>197</v>
      </c>
      <c r="B200" s="35"/>
      <c r="C200" s="35"/>
      <c r="D200" s="46" t="s">
        <v>11</v>
      </c>
      <c r="E200" s="46" t="s">
        <v>0</v>
      </c>
      <c r="F200" s="54">
        <f t="shared" ref="F200" si="280">SUM(F201:F203)</f>
        <v>0</v>
      </c>
      <c r="G200" s="54">
        <f t="shared" ref="G200:H200" si="281">SUM(G201:G203)</f>
        <v>0</v>
      </c>
      <c r="H200" s="54">
        <f t="shared" si="281"/>
        <v>0</v>
      </c>
      <c r="I200" s="54">
        <f t="shared" ref="I200" si="282">SUM(I201:I203)</f>
        <v>0</v>
      </c>
      <c r="J200" s="54">
        <f t="shared" ref="J200:K200" si="283">SUM(J201:J203)</f>
        <v>0</v>
      </c>
      <c r="K200" s="54">
        <f t="shared" si="283"/>
        <v>0</v>
      </c>
      <c r="L200" s="54">
        <f t="shared" ref="L200:AB200" si="284">SUM(L201:L203)</f>
        <v>0</v>
      </c>
      <c r="M200" s="54">
        <f t="shared" si="284"/>
        <v>0</v>
      </c>
      <c r="N200" s="54">
        <f t="shared" si="284"/>
        <v>0</v>
      </c>
      <c r="O200" s="54">
        <f t="shared" si="284"/>
        <v>0</v>
      </c>
      <c r="P200" s="54">
        <f t="shared" si="284"/>
        <v>0</v>
      </c>
      <c r="Q200" s="54">
        <f t="shared" si="284"/>
        <v>0</v>
      </c>
      <c r="R200" s="54">
        <f t="shared" si="284"/>
        <v>0</v>
      </c>
      <c r="S200" s="54">
        <f t="shared" si="284"/>
        <v>0</v>
      </c>
      <c r="T200" s="54">
        <f t="shared" si="284"/>
        <v>0</v>
      </c>
      <c r="U200" s="54">
        <f t="shared" si="284"/>
        <v>0</v>
      </c>
      <c r="V200" s="54">
        <f t="shared" si="284"/>
        <v>0</v>
      </c>
      <c r="W200" s="54">
        <f t="shared" si="284"/>
        <v>0</v>
      </c>
      <c r="X200" s="54">
        <f t="shared" si="284"/>
        <v>0</v>
      </c>
      <c r="Y200" s="54">
        <f t="shared" si="284"/>
        <v>0</v>
      </c>
      <c r="Z200" s="54">
        <f t="shared" si="284"/>
        <v>0</v>
      </c>
      <c r="AA200" s="54">
        <f t="shared" si="284"/>
        <v>0</v>
      </c>
      <c r="AB200" s="54">
        <f t="shared" si="284"/>
        <v>0</v>
      </c>
      <c r="AC200" s="54">
        <f t="shared" ref="AC200" si="285">SUM(AC201:AC203)</f>
        <v>0</v>
      </c>
      <c r="AD200" s="54">
        <v>0</v>
      </c>
      <c r="AE200" s="54">
        <v>0</v>
      </c>
    </row>
    <row r="201" spans="1:31" s="55" customFormat="1" x14ac:dyDescent="0.35">
      <c r="A201" s="57">
        <v>198</v>
      </c>
      <c r="B201" s="35"/>
      <c r="C201" s="35"/>
      <c r="D201" s="47" t="s">
        <v>21</v>
      </c>
      <c r="E201" s="47" t="s">
        <v>20</v>
      </c>
      <c r="F201" s="55">
        <v>0</v>
      </c>
      <c r="G201" s="55">
        <v>0</v>
      </c>
      <c r="H201" s="55">
        <v>0</v>
      </c>
      <c r="I201" s="55">
        <v>0</v>
      </c>
      <c r="J201" s="55">
        <v>0</v>
      </c>
      <c r="K201" s="55">
        <v>0</v>
      </c>
      <c r="L201" s="55">
        <v>0</v>
      </c>
      <c r="M201" s="55">
        <v>0</v>
      </c>
      <c r="N201" s="55">
        <v>0</v>
      </c>
      <c r="O201" s="55">
        <v>0</v>
      </c>
      <c r="P201" s="55">
        <v>0</v>
      </c>
      <c r="Q201" s="55">
        <v>0</v>
      </c>
      <c r="R201" s="55">
        <v>0</v>
      </c>
      <c r="S201" s="55">
        <v>0</v>
      </c>
      <c r="T201" s="55">
        <v>0</v>
      </c>
      <c r="U201" s="55">
        <v>0</v>
      </c>
      <c r="V201" s="55">
        <v>0</v>
      </c>
      <c r="W201" s="55">
        <v>0</v>
      </c>
      <c r="X201" s="55">
        <v>0</v>
      </c>
      <c r="Y201" s="55">
        <v>0</v>
      </c>
      <c r="Z201" s="55">
        <v>0</v>
      </c>
      <c r="AA201" s="55">
        <v>0</v>
      </c>
      <c r="AB201" s="55">
        <v>0</v>
      </c>
      <c r="AC201" s="55">
        <v>0</v>
      </c>
      <c r="AD201" s="55">
        <v>0</v>
      </c>
      <c r="AE201" s="55">
        <v>0</v>
      </c>
    </row>
    <row r="202" spans="1:31" s="55" customFormat="1" x14ac:dyDescent="0.35">
      <c r="A202" s="57">
        <v>199</v>
      </c>
      <c r="B202" s="35"/>
      <c r="C202" s="35"/>
      <c r="D202" s="47" t="s">
        <v>12</v>
      </c>
      <c r="E202" s="47" t="s">
        <v>22</v>
      </c>
      <c r="F202" s="55">
        <v>0</v>
      </c>
      <c r="G202" s="55">
        <v>0</v>
      </c>
      <c r="H202" s="55">
        <v>0</v>
      </c>
      <c r="I202" s="55">
        <v>0</v>
      </c>
      <c r="J202" s="55">
        <v>0</v>
      </c>
      <c r="K202" s="55">
        <v>0</v>
      </c>
      <c r="L202" s="55">
        <v>0</v>
      </c>
      <c r="M202" s="55">
        <v>0</v>
      </c>
      <c r="N202" s="55">
        <v>0</v>
      </c>
      <c r="O202" s="55">
        <v>0</v>
      </c>
      <c r="P202" s="55">
        <v>0</v>
      </c>
      <c r="Q202" s="55">
        <v>0</v>
      </c>
      <c r="R202" s="55">
        <v>0</v>
      </c>
      <c r="S202" s="55">
        <v>0</v>
      </c>
      <c r="T202" s="55">
        <v>0</v>
      </c>
      <c r="U202" s="55">
        <v>0</v>
      </c>
      <c r="V202" s="55">
        <v>0</v>
      </c>
      <c r="W202" s="55">
        <v>0</v>
      </c>
      <c r="X202" s="55">
        <v>0</v>
      </c>
      <c r="Y202" s="55">
        <v>0</v>
      </c>
      <c r="Z202" s="55">
        <v>0</v>
      </c>
      <c r="AA202" s="55">
        <v>0</v>
      </c>
      <c r="AB202" s="55">
        <v>0</v>
      </c>
      <c r="AC202" s="55">
        <v>0</v>
      </c>
      <c r="AD202" s="55">
        <v>0</v>
      </c>
      <c r="AE202" s="55">
        <v>0</v>
      </c>
    </row>
    <row r="203" spans="1:31" s="58" customFormat="1" x14ac:dyDescent="0.35">
      <c r="A203" s="57">
        <v>200</v>
      </c>
      <c r="B203" s="35"/>
      <c r="C203" s="35"/>
      <c r="D203" s="47" t="s">
        <v>13</v>
      </c>
      <c r="E203" s="47" t="s">
        <v>23</v>
      </c>
    </row>
    <row r="204" spans="1:31" s="54" customFormat="1" x14ac:dyDescent="0.35">
      <c r="A204" s="57">
        <v>201</v>
      </c>
      <c r="B204" s="35"/>
      <c r="C204" s="35"/>
      <c r="D204" s="46" t="s">
        <v>1</v>
      </c>
      <c r="E204" s="46" t="s">
        <v>24</v>
      </c>
      <c r="F204" s="54">
        <v>661.59141958999999</v>
      </c>
      <c r="G204" s="54">
        <v>741.0412984300001</v>
      </c>
      <c r="H204" s="54">
        <v>840.8544155400001</v>
      </c>
      <c r="I204" s="54">
        <v>976.29478368000002</v>
      </c>
      <c r="J204" s="54">
        <v>987.58044665</v>
      </c>
      <c r="K204" s="54">
        <v>1053.17789174</v>
      </c>
      <c r="L204" s="54">
        <v>1054.6934518099999</v>
      </c>
      <c r="M204" s="54">
        <v>1085.98151308</v>
      </c>
      <c r="N204" s="54">
        <v>1168.90370592</v>
      </c>
      <c r="O204" s="54">
        <v>1246.8149568600002</v>
      </c>
      <c r="P204" s="54">
        <v>1290.26110165</v>
      </c>
      <c r="Q204" s="54">
        <v>1361.16795763</v>
      </c>
      <c r="R204" s="54">
        <v>1437.8517508800001</v>
      </c>
      <c r="S204" s="54">
        <v>1492.72070403</v>
      </c>
      <c r="T204" s="54">
        <v>1598.35132176</v>
      </c>
      <c r="U204" s="54">
        <v>1724.07818118</v>
      </c>
      <c r="V204" s="54">
        <v>1921.5121920899999</v>
      </c>
      <c r="W204" s="54">
        <v>2006.1529503899999</v>
      </c>
      <c r="X204" s="54">
        <v>2065.2166788200002</v>
      </c>
      <c r="Y204" s="54">
        <v>2226.5040471500001</v>
      </c>
      <c r="Z204" s="54">
        <v>2346.3448029500005</v>
      </c>
      <c r="AA204" s="54">
        <v>2434.7554833935797</v>
      </c>
      <c r="AB204" s="54">
        <v>2529.3550529299996</v>
      </c>
      <c r="AC204" s="54">
        <v>2629.4541096596085</v>
      </c>
      <c r="AD204" s="54">
        <v>2719.4457898157652</v>
      </c>
      <c r="AE204" s="54">
        <v>2791.1815630557353</v>
      </c>
    </row>
    <row r="205" spans="1:31" s="54" customFormat="1" x14ac:dyDescent="0.35">
      <c r="A205" s="57">
        <v>202</v>
      </c>
      <c r="B205" s="35"/>
      <c r="C205" s="35"/>
      <c r="D205" s="46" t="s">
        <v>25</v>
      </c>
      <c r="E205" s="46" t="s">
        <v>26</v>
      </c>
      <c r="F205" s="54">
        <v>0</v>
      </c>
      <c r="G205" s="54">
        <v>0</v>
      </c>
      <c r="H205" s="54">
        <v>0</v>
      </c>
      <c r="I205" s="54">
        <v>0</v>
      </c>
      <c r="J205" s="54">
        <v>0</v>
      </c>
      <c r="K205" s="54">
        <v>0</v>
      </c>
      <c r="L205" s="54">
        <v>0</v>
      </c>
      <c r="M205" s="54">
        <v>0</v>
      </c>
      <c r="N205" s="54">
        <v>0</v>
      </c>
      <c r="O205" s="54">
        <v>0</v>
      </c>
      <c r="P205" s="54">
        <v>0</v>
      </c>
      <c r="Q205" s="54">
        <v>0</v>
      </c>
      <c r="R205" s="54">
        <v>0</v>
      </c>
      <c r="S205" s="54">
        <v>0</v>
      </c>
      <c r="T205" s="54">
        <v>0</v>
      </c>
      <c r="U205" s="54">
        <v>0</v>
      </c>
      <c r="V205" s="54">
        <v>0</v>
      </c>
      <c r="W205" s="54">
        <v>0</v>
      </c>
      <c r="X205" s="54">
        <v>0</v>
      </c>
      <c r="Y205" s="54">
        <v>0</v>
      </c>
      <c r="Z205" s="54">
        <v>0</v>
      </c>
      <c r="AA205" s="54">
        <v>0</v>
      </c>
      <c r="AB205" s="54">
        <v>0</v>
      </c>
      <c r="AC205" s="54">
        <v>0</v>
      </c>
      <c r="AD205" s="54">
        <v>0</v>
      </c>
      <c r="AE205" s="54">
        <v>0</v>
      </c>
    </row>
    <row r="206" spans="1:31" s="52" customFormat="1" ht="15.5" x14ac:dyDescent="0.35">
      <c r="A206" s="57">
        <v>203</v>
      </c>
      <c r="B206" s="35"/>
      <c r="C206" s="35"/>
      <c r="D206" s="45" t="s">
        <v>15</v>
      </c>
      <c r="E206" s="45" t="s">
        <v>17</v>
      </c>
      <c r="F206" s="52">
        <v>0</v>
      </c>
      <c r="G206" s="52">
        <v>0</v>
      </c>
      <c r="H206" s="52">
        <v>0</v>
      </c>
      <c r="I206" s="52">
        <v>0</v>
      </c>
      <c r="J206" s="52">
        <v>0</v>
      </c>
      <c r="K206" s="52">
        <v>0</v>
      </c>
      <c r="L206" s="52">
        <v>0</v>
      </c>
      <c r="M206" s="52">
        <v>0</v>
      </c>
      <c r="N206" s="52">
        <v>0</v>
      </c>
      <c r="O206" s="52">
        <v>0</v>
      </c>
      <c r="P206" s="52">
        <v>0</v>
      </c>
      <c r="Q206" s="52">
        <v>0</v>
      </c>
      <c r="R206" s="52">
        <v>0</v>
      </c>
      <c r="S206" s="52">
        <v>0</v>
      </c>
      <c r="T206" s="52">
        <v>0</v>
      </c>
      <c r="U206" s="52">
        <v>0</v>
      </c>
      <c r="V206" s="52">
        <v>0</v>
      </c>
      <c r="W206" s="52">
        <v>0</v>
      </c>
      <c r="X206" s="52">
        <v>0</v>
      </c>
      <c r="Y206" s="52">
        <v>0</v>
      </c>
      <c r="Z206" s="52">
        <v>0</v>
      </c>
      <c r="AA206" s="52">
        <v>9.6067689999999999</v>
      </c>
      <c r="AB206" s="52">
        <v>29.290707999999999</v>
      </c>
      <c r="AC206" s="52">
        <v>29.741622</v>
      </c>
      <c r="AD206" s="52">
        <v>38.48312</v>
      </c>
      <c r="AE206" s="52">
        <v>38.341349999999998</v>
      </c>
    </row>
    <row r="207" spans="1:31" s="51" customFormat="1" ht="17.25" customHeight="1" x14ac:dyDescent="0.35">
      <c r="A207" s="57">
        <v>204</v>
      </c>
      <c r="B207" s="35"/>
      <c r="C207" s="35"/>
      <c r="D207" s="49"/>
      <c r="E207" s="49"/>
      <c r="F207" s="51">
        <v>0</v>
      </c>
      <c r="G207" s="51">
        <v>0</v>
      </c>
      <c r="H207" s="51">
        <v>0</v>
      </c>
      <c r="I207" s="51">
        <v>0</v>
      </c>
      <c r="J207" s="51">
        <v>0</v>
      </c>
      <c r="K207" s="51">
        <v>0</v>
      </c>
      <c r="L207" s="51">
        <v>0</v>
      </c>
      <c r="M207" s="51">
        <v>0</v>
      </c>
      <c r="N207" s="51">
        <v>0</v>
      </c>
      <c r="O207" s="51">
        <v>0</v>
      </c>
      <c r="P207" s="51">
        <v>0</v>
      </c>
      <c r="Q207" s="51">
        <v>0</v>
      </c>
      <c r="R207" s="51">
        <v>0</v>
      </c>
      <c r="S207" s="51">
        <v>0</v>
      </c>
      <c r="T207" s="51">
        <v>0</v>
      </c>
      <c r="U207" s="51">
        <v>0</v>
      </c>
      <c r="V207" s="51">
        <v>0</v>
      </c>
      <c r="W207" s="51">
        <v>0</v>
      </c>
      <c r="X207" s="51">
        <v>0</v>
      </c>
      <c r="Y207" s="51">
        <v>0</v>
      </c>
      <c r="Z207" s="51">
        <v>0</v>
      </c>
      <c r="AA207" s="51">
        <v>0</v>
      </c>
      <c r="AB207" s="51">
        <v>0</v>
      </c>
      <c r="AC207" s="51">
        <v>0</v>
      </c>
      <c r="AD207" s="51">
        <v>0</v>
      </c>
      <c r="AE207" s="51">
        <v>0</v>
      </c>
    </row>
    <row r="208" spans="1:31" s="56" customFormat="1" ht="26.15" customHeight="1" x14ac:dyDescent="0.45">
      <c r="A208" s="57">
        <v>205</v>
      </c>
      <c r="B208" s="42"/>
      <c r="C208" s="44" t="s">
        <v>2</v>
      </c>
      <c r="D208" s="44"/>
      <c r="E208" s="35"/>
    </row>
    <row r="209" spans="1:31" s="52" customFormat="1" ht="18" customHeight="1" x14ac:dyDescent="0.35">
      <c r="A209" s="57">
        <v>206</v>
      </c>
      <c r="B209" s="35"/>
      <c r="C209" s="35"/>
      <c r="D209" s="45" t="s">
        <v>9</v>
      </c>
      <c r="E209" s="45" t="s">
        <v>30</v>
      </c>
      <c r="F209" s="52">
        <f t="shared" ref="F209" si="286">F210+F211+F215+F216</f>
        <v>28.399892489999996</v>
      </c>
      <c r="G209" s="52">
        <f t="shared" ref="G209:H209" si="287">G210+G211+G215+G216</f>
        <v>30.574980249999999</v>
      </c>
      <c r="H209" s="52">
        <f t="shared" si="287"/>
        <v>32.46898771</v>
      </c>
      <c r="I209" s="52">
        <f t="shared" ref="I209" si="288">I210+I211+I215+I216</f>
        <v>31.03748418</v>
      </c>
      <c r="J209" s="52">
        <f t="shared" ref="J209:K209" si="289">J210+J211+J215+J216</f>
        <v>66.54749649</v>
      </c>
      <c r="K209" s="52">
        <f t="shared" si="289"/>
        <v>17.69464078</v>
      </c>
      <c r="L209" s="52">
        <f t="shared" ref="L209:AB209" si="290">L210+L211+L215+L216</f>
        <v>18.058307569999997</v>
      </c>
      <c r="M209" s="52">
        <f t="shared" si="290"/>
        <v>17.70814378</v>
      </c>
      <c r="N209" s="52">
        <f t="shared" si="290"/>
        <v>16.591614169999996</v>
      </c>
      <c r="O209" s="52">
        <f t="shared" si="290"/>
        <v>15.46981982</v>
      </c>
      <c r="P209" s="52">
        <f t="shared" si="290"/>
        <v>15.994170959999998</v>
      </c>
      <c r="Q209" s="52">
        <f t="shared" si="290"/>
        <v>15.291611800000002</v>
      </c>
      <c r="R209" s="52">
        <f t="shared" si="290"/>
        <v>14.07107283</v>
      </c>
      <c r="S209" s="52">
        <f t="shared" si="290"/>
        <v>13.72052165</v>
      </c>
      <c r="T209" s="52">
        <f t="shared" si="290"/>
        <v>13.574588669999999</v>
      </c>
      <c r="U209" s="52">
        <f t="shared" si="290"/>
        <v>13.43203332</v>
      </c>
      <c r="V209" s="52">
        <f t="shared" si="290"/>
        <v>13.731755189999998</v>
      </c>
      <c r="W209" s="52">
        <f t="shared" si="290"/>
        <v>0.41384315999999643</v>
      </c>
      <c r="X209" s="52">
        <f t="shared" si="290"/>
        <v>0.36203225</v>
      </c>
      <c r="Y209" s="52">
        <f t="shared" si="290"/>
        <v>0.31814695999999343</v>
      </c>
      <c r="Z209" s="52">
        <f t="shared" si="290"/>
        <v>0.28366354999999704</v>
      </c>
      <c r="AA209" s="52">
        <f t="shared" si="290"/>
        <v>0.25310798000000001</v>
      </c>
      <c r="AB209" s="52">
        <f t="shared" si="290"/>
        <v>0.22265620999999999</v>
      </c>
      <c r="AC209" s="52">
        <f t="shared" ref="AC209" si="291">AC210+AC211+AC215+AC216</f>
        <v>0.19210064000000002</v>
      </c>
      <c r="AD209" s="52">
        <v>0.16152396999999999</v>
      </c>
      <c r="AE209" s="52">
        <v>0.13051069999998807</v>
      </c>
    </row>
    <row r="210" spans="1:31" s="54" customFormat="1" x14ac:dyDescent="0.35">
      <c r="A210" s="57">
        <v>207</v>
      </c>
      <c r="B210" s="35"/>
      <c r="C210" s="35"/>
      <c r="D210" s="46" t="s">
        <v>10</v>
      </c>
      <c r="E210" s="46" t="s">
        <v>18</v>
      </c>
      <c r="F210" s="54">
        <v>25.767612799999995</v>
      </c>
      <c r="G210" s="54">
        <v>27.55378146</v>
      </c>
      <c r="H210" s="54">
        <v>27.169876510000002</v>
      </c>
      <c r="I210" s="54">
        <v>24.801277510000002</v>
      </c>
      <c r="J210" s="54">
        <v>62.59390149</v>
      </c>
      <c r="K210" s="54">
        <v>17.58259988</v>
      </c>
      <c r="L210" s="54">
        <v>17.983706949999998</v>
      </c>
      <c r="M210" s="54">
        <v>17.525980960000002</v>
      </c>
      <c r="N210" s="54">
        <v>16.476614169999998</v>
      </c>
      <c r="O210" s="54">
        <v>15.37981982</v>
      </c>
      <c r="P210" s="54">
        <v>15.919170959999999</v>
      </c>
      <c r="Q210" s="54">
        <v>15.231611800000001</v>
      </c>
      <c r="R210" s="54">
        <v>13.87607283</v>
      </c>
      <c r="S210" s="54">
        <v>13.559271649999999</v>
      </c>
      <c r="T210" s="54">
        <v>13.447088669999999</v>
      </c>
      <c r="U210" s="54">
        <v>13.33828332</v>
      </c>
      <c r="V210" s="54">
        <v>13.656755189999998</v>
      </c>
      <c r="W210" s="54">
        <v>0.41384315999999643</v>
      </c>
      <c r="X210" s="54">
        <v>0.36203225</v>
      </c>
      <c r="Y210" s="54">
        <v>0.31814695999999343</v>
      </c>
      <c r="Z210" s="54">
        <v>0.28366354999999704</v>
      </c>
      <c r="AA210" s="54">
        <v>0.25310798000000001</v>
      </c>
      <c r="AB210" s="54">
        <v>0.22265620999999999</v>
      </c>
      <c r="AC210" s="54">
        <v>0.19210064000000002</v>
      </c>
      <c r="AD210" s="54">
        <v>0.16152396999999999</v>
      </c>
      <c r="AE210" s="54">
        <v>0.13051069999998807</v>
      </c>
    </row>
    <row r="211" spans="1:31" s="54" customFormat="1" x14ac:dyDescent="0.35">
      <c r="A211" s="57">
        <v>208</v>
      </c>
      <c r="B211" s="35"/>
      <c r="C211" s="35"/>
      <c r="D211" s="46" t="s">
        <v>11</v>
      </c>
      <c r="E211" s="46" t="s">
        <v>0</v>
      </c>
      <c r="F211" s="54">
        <f t="shared" ref="F211" si="292">SUM(F212:F214)</f>
        <v>0</v>
      </c>
      <c r="G211" s="54">
        <f t="shared" ref="G211:H211" si="293">SUM(G212:G214)</f>
        <v>0</v>
      </c>
      <c r="H211" s="54">
        <f t="shared" si="293"/>
        <v>0</v>
      </c>
      <c r="I211" s="54">
        <f t="shared" ref="I211" si="294">SUM(I212:I214)</f>
        <v>0</v>
      </c>
      <c r="J211" s="54">
        <f t="shared" ref="J211:K211" si="295">SUM(J212:J214)</f>
        <v>0</v>
      </c>
      <c r="K211" s="54">
        <f t="shared" si="295"/>
        <v>0</v>
      </c>
      <c r="L211" s="54">
        <f t="shared" ref="L211:AB211" si="296">SUM(L212:L214)</f>
        <v>0</v>
      </c>
      <c r="M211" s="54">
        <f t="shared" si="296"/>
        <v>0</v>
      </c>
      <c r="N211" s="54">
        <f t="shared" si="296"/>
        <v>0</v>
      </c>
      <c r="O211" s="54">
        <f t="shared" si="296"/>
        <v>0</v>
      </c>
      <c r="P211" s="54">
        <f t="shared" si="296"/>
        <v>0</v>
      </c>
      <c r="Q211" s="54">
        <f t="shared" si="296"/>
        <v>0</v>
      </c>
      <c r="R211" s="54">
        <f t="shared" si="296"/>
        <v>0</v>
      </c>
      <c r="S211" s="54">
        <f t="shared" si="296"/>
        <v>0</v>
      </c>
      <c r="T211" s="54">
        <f t="shared" si="296"/>
        <v>0</v>
      </c>
      <c r="U211" s="54">
        <f t="shared" si="296"/>
        <v>0</v>
      </c>
      <c r="V211" s="54">
        <f t="shared" si="296"/>
        <v>0</v>
      </c>
      <c r="W211" s="54">
        <f t="shared" si="296"/>
        <v>0</v>
      </c>
      <c r="X211" s="54">
        <f t="shared" si="296"/>
        <v>0</v>
      </c>
      <c r="Y211" s="54">
        <f t="shared" si="296"/>
        <v>0</v>
      </c>
      <c r="Z211" s="54">
        <f t="shared" si="296"/>
        <v>0</v>
      </c>
      <c r="AA211" s="54">
        <f t="shared" si="296"/>
        <v>0</v>
      </c>
      <c r="AB211" s="54">
        <f t="shared" si="296"/>
        <v>0</v>
      </c>
      <c r="AC211" s="54">
        <f t="shared" ref="AC211" si="297">SUM(AC212:AC214)</f>
        <v>0</v>
      </c>
      <c r="AD211" s="54">
        <v>0</v>
      </c>
      <c r="AE211" s="54">
        <v>0</v>
      </c>
    </row>
    <row r="212" spans="1:31" s="55" customFormat="1" x14ac:dyDescent="0.35">
      <c r="A212" s="57">
        <v>209</v>
      </c>
      <c r="B212" s="35"/>
      <c r="C212" s="35"/>
      <c r="D212" s="47" t="s">
        <v>21</v>
      </c>
      <c r="E212" s="47" t="s">
        <v>20</v>
      </c>
      <c r="F212" s="55">
        <v>0</v>
      </c>
      <c r="G212" s="55">
        <v>0</v>
      </c>
      <c r="H212" s="55">
        <v>0</v>
      </c>
      <c r="I212" s="55">
        <v>0</v>
      </c>
      <c r="J212" s="55">
        <v>0</v>
      </c>
      <c r="K212" s="55">
        <v>0</v>
      </c>
      <c r="L212" s="55">
        <v>0</v>
      </c>
      <c r="M212" s="55">
        <v>0</v>
      </c>
      <c r="N212" s="55">
        <v>0</v>
      </c>
      <c r="O212" s="55">
        <v>0</v>
      </c>
      <c r="P212" s="55">
        <v>0</v>
      </c>
      <c r="Q212" s="55">
        <v>0</v>
      </c>
      <c r="R212" s="55">
        <v>0</v>
      </c>
      <c r="S212" s="55">
        <v>0</v>
      </c>
      <c r="T212" s="55">
        <v>0</v>
      </c>
      <c r="U212" s="55">
        <v>0</v>
      </c>
      <c r="V212" s="55">
        <v>0</v>
      </c>
      <c r="W212" s="55">
        <v>0</v>
      </c>
      <c r="X212" s="55">
        <v>0</v>
      </c>
      <c r="Y212" s="55">
        <v>0</v>
      </c>
      <c r="Z212" s="55">
        <v>0</v>
      </c>
      <c r="AA212" s="55">
        <v>0</v>
      </c>
      <c r="AB212" s="55">
        <v>0</v>
      </c>
      <c r="AC212" s="55">
        <v>0</v>
      </c>
      <c r="AD212" s="55">
        <v>0</v>
      </c>
      <c r="AE212" s="55">
        <v>0</v>
      </c>
    </row>
    <row r="213" spans="1:31" s="55" customFormat="1" x14ac:dyDescent="0.35">
      <c r="A213" s="57">
        <v>210</v>
      </c>
      <c r="B213" s="35"/>
      <c r="C213" s="35"/>
      <c r="D213" s="47" t="s">
        <v>12</v>
      </c>
      <c r="E213" s="47" t="s">
        <v>22</v>
      </c>
      <c r="F213" s="55">
        <v>0</v>
      </c>
      <c r="G213" s="55">
        <v>0</v>
      </c>
      <c r="H213" s="55">
        <v>0</v>
      </c>
      <c r="I213" s="55">
        <v>0</v>
      </c>
      <c r="J213" s="55">
        <v>0</v>
      </c>
      <c r="K213" s="55">
        <v>0</v>
      </c>
      <c r="L213" s="55">
        <v>0</v>
      </c>
      <c r="M213" s="55">
        <v>0</v>
      </c>
      <c r="N213" s="55">
        <v>0</v>
      </c>
      <c r="O213" s="55">
        <v>0</v>
      </c>
      <c r="P213" s="55">
        <v>0</v>
      </c>
      <c r="Q213" s="55">
        <v>0</v>
      </c>
      <c r="R213" s="55">
        <v>0</v>
      </c>
      <c r="S213" s="55">
        <v>0</v>
      </c>
      <c r="T213" s="55">
        <v>0</v>
      </c>
      <c r="U213" s="55">
        <v>0</v>
      </c>
      <c r="V213" s="55">
        <v>0</v>
      </c>
      <c r="W213" s="55">
        <v>0</v>
      </c>
      <c r="X213" s="55">
        <v>0</v>
      </c>
      <c r="Y213" s="55">
        <v>0</v>
      </c>
      <c r="Z213" s="55">
        <v>0</v>
      </c>
      <c r="AA213" s="55">
        <v>0</v>
      </c>
      <c r="AB213" s="55">
        <v>0</v>
      </c>
      <c r="AC213" s="55">
        <v>0</v>
      </c>
      <c r="AD213" s="55">
        <v>0</v>
      </c>
      <c r="AE213" s="55">
        <v>0</v>
      </c>
    </row>
    <row r="214" spans="1:31" s="58" customFormat="1" x14ac:dyDescent="0.35">
      <c r="A214" s="57">
        <v>211</v>
      </c>
      <c r="B214" s="35"/>
      <c r="C214" s="35"/>
      <c r="D214" s="47" t="s">
        <v>13</v>
      </c>
      <c r="E214" s="47" t="s">
        <v>23</v>
      </c>
    </row>
    <row r="215" spans="1:31" s="54" customFormat="1" x14ac:dyDescent="0.35">
      <c r="A215" s="57">
        <v>212</v>
      </c>
      <c r="B215" s="35"/>
      <c r="C215" s="35"/>
      <c r="D215" s="46" t="s">
        <v>1</v>
      </c>
      <c r="E215" s="46" t="s">
        <v>24</v>
      </c>
      <c r="F215" s="54">
        <v>0</v>
      </c>
      <c r="G215" s="54">
        <v>0</v>
      </c>
      <c r="H215" s="54">
        <v>0</v>
      </c>
      <c r="I215" s="54">
        <v>0</v>
      </c>
      <c r="J215" s="54">
        <v>0</v>
      </c>
      <c r="K215" s="54">
        <v>0</v>
      </c>
      <c r="L215" s="54">
        <v>0</v>
      </c>
      <c r="M215" s="54">
        <v>0</v>
      </c>
      <c r="N215" s="54">
        <v>0</v>
      </c>
      <c r="O215" s="54">
        <v>0</v>
      </c>
      <c r="P215" s="54">
        <v>0</v>
      </c>
      <c r="Q215" s="54">
        <v>0</v>
      </c>
      <c r="R215" s="54">
        <v>0</v>
      </c>
      <c r="S215" s="54">
        <v>0</v>
      </c>
      <c r="T215" s="54">
        <v>0</v>
      </c>
      <c r="U215" s="54">
        <v>0</v>
      </c>
      <c r="V215" s="54">
        <v>0</v>
      </c>
      <c r="W215" s="54">
        <v>0</v>
      </c>
      <c r="X215" s="54">
        <v>0</v>
      </c>
      <c r="Y215" s="54">
        <v>0</v>
      </c>
      <c r="Z215" s="54">
        <v>0</v>
      </c>
      <c r="AA215" s="54">
        <v>0</v>
      </c>
      <c r="AB215" s="54">
        <v>0</v>
      </c>
      <c r="AC215" s="54">
        <v>0</v>
      </c>
      <c r="AD215" s="54">
        <v>0</v>
      </c>
      <c r="AE215" s="54">
        <v>0</v>
      </c>
    </row>
    <row r="216" spans="1:31" s="54" customFormat="1" x14ac:dyDescent="0.35">
      <c r="A216" s="57">
        <v>213</v>
      </c>
      <c r="B216" s="35"/>
      <c r="C216" s="35"/>
      <c r="D216" s="46" t="s">
        <v>25</v>
      </c>
      <c r="E216" s="46" t="s">
        <v>26</v>
      </c>
      <c r="F216" s="54">
        <v>2.6322796899999998</v>
      </c>
      <c r="G216" s="54">
        <v>3.0211987900000001</v>
      </c>
      <c r="H216" s="54">
        <v>5.2991112000000005</v>
      </c>
      <c r="I216" s="54">
        <v>6.2362066699999996</v>
      </c>
      <c r="J216" s="54">
        <v>3.953595</v>
      </c>
      <c r="K216" s="54">
        <v>0.1120409</v>
      </c>
      <c r="L216" s="54">
        <v>7.4600619999999992E-2</v>
      </c>
      <c r="M216" s="54">
        <v>0.18216282</v>
      </c>
      <c r="N216" s="54">
        <v>0.115</v>
      </c>
      <c r="O216" s="54">
        <v>0.09</v>
      </c>
      <c r="P216" s="54">
        <v>7.4999999999999997E-2</v>
      </c>
      <c r="Q216" s="54">
        <v>0.06</v>
      </c>
      <c r="R216" s="54">
        <v>0.19500000000000001</v>
      </c>
      <c r="S216" s="54">
        <v>0.16125</v>
      </c>
      <c r="T216" s="54">
        <v>0.1275</v>
      </c>
      <c r="U216" s="54">
        <v>9.375E-2</v>
      </c>
      <c r="V216" s="54">
        <v>7.4999999999999997E-2</v>
      </c>
      <c r="W216" s="54">
        <v>0</v>
      </c>
      <c r="X216" s="54">
        <v>0</v>
      </c>
      <c r="Y216" s="54">
        <v>0</v>
      </c>
      <c r="Z216" s="54">
        <v>0</v>
      </c>
      <c r="AA216" s="54">
        <v>0</v>
      </c>
      <c r="AB216" s="54">
        <v>0</v>
      </c>
      <c r="AC216" s="54">
        <v>0</v>
      </c>
      <c r="AD216" s="54">
        <v>0</v>
      </c>
      <c r="AE216" s="54">
        <v>0</v>
      </c>
    </row>
    <row r="217" spans="1:31" s="52" customFormat="1" ht="15.5" x14ac:dyDescent="0.35">
      <c r="A217" s="57">
        <v>214</v>
      </c>
      <c r="B217" s="35"/>
      <c r="C217" s="35"/>
      <c r="D217" s="45" t="s">
        <v>15</v>
      </c>
      <c r="E217" s="45" t="s">
        <v>17</v>
      </c>
      <c r="F217" s="52">
        <v>0</v>
      </c>
      <c r="G217" s="52">
        <v>0</v>
      </c>
      <c r="H217" s="52">
        <v>0</v>
      </c>
      <c r="I217" s="52">
        <v>0</v>
      </c>
      <c r="J217" s="52">
        <v>0</v>
      </c>
      <c r="K217" s="52">
        <v>0</v>
      </c>
      <c r="L217" s="52">
        <v>0</v>
      </c>
      <c r="M217" s="52">
        <v>0</v>
      </c>
      <c r="N217" s="52">
        <v>0</v>
      </c>
      <c r="O217" s="52">
        <v>0</v>
      </c>
      <c r="P217" s="52">
        <v>0</v>
      </c>
      <c r="Q217" s="52">
        <v>0</v>
      </c>
      <c r="R217" s="52">
        <v>0</v>
      </c>
      <c r="S217" s="52">
        <v>0</v>
      </c>
      <c r="T217" s="52">
        <v>0</v>
      </c>
      <c r="U217" s="52">
        <v>0</v>
      </c>
      <c r="V217" s="52">
        <v>0</v>
      </c>
      <c r="W217" s="52">
        <v>0</v>
      </c>
      <c r="X217" s="52">
        <v>0</v>
      </c>
      <c r="Y217" s="52">
        <v>0</v>
      </c>
      <c r="Z217" s="52">
        <v>0</v>
      </c>
      <c r="AA217" s="52">
        <v>0</v>
      </c>
      <c r="AB217" s="52">
        <v>0</v>
      </c>
      <c r="AC217" s="52">
        <v>0</v>
      </c>
      <c r="AD217" s="52">
        <v>0</v>
      </c>
      <c r="AE217" s="52">
        <v>0</v>
      </c>
    </row>
    <row r="218" spans="1:31" s="51" customFormat="1" ht="9" customHeight="1" x14ac:dyDescent="0.35">
      <c r="A218" s="57">
        <v>215</v>
      </c>
      <c r="B218" s="35"/>
      <c r="C218" s="35"/>
      <c r="D218" s="49"/>
      <c r="E218" s="49"/>
      <c r="F218" s="51">
        <v>0</v>
      </c>
      <c r="G218" s="51">
        <v>0</v>
      </c>
      <c r="H218" s="51">
        <v>0</v>
      </c>
      <c r="I218" s="51">
        <v>0</v>
      </c>
      <c r="J218" s="51">
        <v>0</v>
      </c>
      <c r="K218" s="51">
        <v>0</v>
      </c>
      <c r="L218" s="51">
        <v>0</v>
      </c>
      <c r="M218" s="51">
        <v>0</v>
      </c>
      <c r="N218" s="51">
        <v>0</v>
      </c>
      <c r="O218" s="51">
        <v>0</v>
      </c>
      <c r="P218" s="51">
        <v>0</v>
      </c>
      <c r="Q218" s="51">
        <v>0</v>
      </c>
      <c r="R218" s="51">
        <v>0</v>
      </c>
      <c r="S218" s="51">
        <v>0</v>
      </c>
      <c r="T218" s="51">
        <v>0</v>
      </c>
      <c r="U218" s="51">
        <v>0</v>
      </c>
      <c r="V218" s="51">
        <v>0</v>
      </c>
      <c r="W218" s="51">
        <v>0</v>
      </c>
      <c r="X218" s="51">
        <v>0</v>
      </c>
      <c r="Y218" s="51">
        <v>0</v>
      </c>
      <c r="Z218" s="51">
        <v>0</v>
      </c>
      <c r="AA218" s="51">
        <v>0</v>
      </c>
      <c r="AB218" s="51">
        <v>0</v>
      </c>
      <c r="AC218" s="51">
        <v>0</v>
      </c>
      <c r="AD218" s="51">
        <v>0</v>
      </c>
      <c r="AE218" s="51">
        <v>0</v>
      </c>
    </row>
    <row r="219" spans="1:31" s="56" customFormat="1" ht="26.15" customHeight="1" x14ac:dyDescent="0.45">
      <c r="A219" s="57">
        <v>216</v>
      </c>
      <c r="B219" s="42"/>
      <c r="C219" s="44" t="s">
        <v>19</v>
      </c>
      <c r="D219" s="44"/>
      <c r="E219" s="35"/>
    </row>
    <row r="220" spans="1:31" s="52" customFormat="1" ht="18" customHeight="1" x14ac:dyDescent="0.35">
      <c r="A220" s="57">
        <v>217</v>
      </c>
      <c r="B220" s="35"/>
      <c r="C220" s="35"/>
      <c r="D220" s="45" t="s">
        <v>9</v>
      </c>
      <c r="E220" s="45" t="s">
        <v>30</v>
      </c>
      <c r="F220" s="52">
        <f t="shared" ref="F220" si="298">F221+F222+F226+F227</f>
        <v>117.24969518</v>
      </c>
      <c r="G220" s="52">
        <f t="shared" ref="G220:H220" si="299">G221+G222+G226+G227</f>
        <v>101.52351065000002</v>
      </c>
      <c r="H220" s="52">
        <f t="shared" si="299"/>
        <v>99.979023150000003</v>
      </c>
      <c r="I220" s="52">
        <f t="shared" ref="I220" si="300">I221+I222+I226+I227</f>
        <v>253.29774767999999</v>
      </c>
      <c r="J220" s="52">
        <f t="shared" ref="J220:K220" si="301">J221+J222+J226+J227</f>
        <v>126.9817041</v>
      </c>
      <c r="K220" s="52">
        <f t="shared" si="301"/>
        <v>138.25591359999999</v>
      </c>
      <c r="L220" s="52">
        <f t="shared" ref="L220:AB220" si="302">L221+L222+L226+L227</f>
        <v>142.12184210000001</v>
      </c>
      <c r="M220" s="52">
        <f t="shared" si="302"/>
        <v>142.83784209999999</v>
      </c>
      <c r="N220" s="52">
        <f t="shared" si="302"/>
        <v>141.33012209999998</v>
      </c>
      <c r="O220" s="52">
        <f t="shared" si="302"/>
        <v>148.3480946</v>
      </c>
      <c r="P220" s="52">
        <f t="shared" si="302"/>
        <v>155.23938699999999</v>
      </c>
      <c r="Q220" s="52">
        <f t="shared" si="302"/>
        <v>189.79067492000001</v>
      </c>
      <c r="R220" s="52">
        <f t="shared" si="302"/>
        <v>192.81242871999999</v>
      </c>
      <c r="S220" s="52">
        <f t="shared" si="302"/>
        <v>192.61530422000001</v>
      </c>
      <c r="T220" s="52">
        <f t="shared" si="302"/>
        <v>192.79187780000001</v>
      </c>
      <c r="U220" s="52">
        <f t="shared" si="302"/>
        <v>170.84399112</v>
      </c>
      <c r="V220" s="52">
        <f t="shared" si="302"/>
        <v>137.24511899999999</v>
      </c>
      <c r="W220" s="52">
        <f t="shared" si="302"/>
        <v>165.59042897</v>
      </c>
      <c r="X220" s="52">
        <f t="shared" si="302"/>
        <v>179.51115001999997</v>
      </c>
      <c r="Y220" s="52">
        <f t="shared" si="302"/>
        <v>193.30796235999998</v>
      </c>
      <c r="Z220" s="52">
        <f t="shared" si="302"/>
        <v>198.43621874999999</v>
      </c>
      <c r="AA220" s="52">
        <f t="shared" si="302"/>
        <v>199.77981024000002</v>
      </c>
      <c r="AB220" s="52">
        <f t="shared" si="302"/>
        <v>202.11010695999997</v>
      </c>
      <c r="AC220" s="52">
        <f t="shared" ref="AC220" si="303">AC221+AC222+AC226+AC227</f>
        <v>205.47201450999998</v>
      </c>
      <c r="AD220" s="52">
        <v>210.78977469</v>
      </c>
      <c r="AE220" s="52">
        <v>207.89031930000002</v>
      </c>
    </row>
    <row r="221" spans="1:31" s="55" customFormat="1" x14ac:dyDescent="0.35">
      <c r="A221" s="57">
        <v>218</v>
      </c>
      <c r="B221" s="35"/>
      <c r="C221" s="35"/>
      <c r="D221" s="46" t="s">
        <v>10</v>
      </c>
      <c r="E221" s="46" t="s">
        <v>18</v>
      </c>
      <c r="F221" s="55">
        <v>93.757738509999996</v>
      </c>
      <c r="G221" s="55">
        <v>90.202164650000014</v>
      </c>
      <c r="H221" s="55">
        <v>90.647913150000008</v>
      </c>
      <c r="I221" s="55">
        <v>243.70759967999999</v>
      </c>
      <c r="J221" s="55">
        <v>126.9817041</v>
      </c>
      <c r="K221" s="55">
        <v>138.25591359999999</v>
      </c>
      <c r="L221" s="55">
        <v>142.12184210000001</v>
      </c>
      <c r="M221" s="55">
        <v>142.83784209999999</v>
      </c>
      <c r="N221" s="55">
        <v>141.33012209999998</v>
      </c>
      <c r="O221" s="55">
        <v>148.3480946</v>
      </c>
      <c r="P221" s="55">
        <v>155.23938699999999</v>
      </c>
      <c r="Q221" s="55">
        <v>189.79067492000001</v>
      </c>
      <c r="R221" s="55">
        <v>192.81242871999999</v>
      </c>
      <c r="S221" s="55">
        <v>192.61530422000001</v>
      </c>
      <c r="T221" s="55">
        <v>192.79187780000001</v>
      </c>
      <c r="U221" s="55">
        <v>170.84399112</v>
      </c>
      <c r="V221" s="55">
        <v>137.24511899999999</v>
      </c>
      <c r="W221" s="55">
        <v>165.59042897</v>
      </c>
      <c r="X221" s="55">
        <v>179.51115001999997</v>
      </c>
      <c r="Y221" s="55">
        <v>193.30796235999998</v>
      </c>
      <c r="Z221" s="55">
        <v>198.43621874999999</v>
      </c>
      <c r="AA221" s="55">
        <v>199.77981024000002</v>
      </c>
      <c r="AB221" s="55">
        <v>202.11010695999997</v>
      </c>
      <c r="AC221" s="55">
        <v>205.47201450999998</v>
      </c>
      <c r="AD221" s="55">
        <v>210.78977469</v>
      </c>
      <c r="AE221" s="55">
        <v>207.89031930000002</v>
      </c>
    </row>
    <row r="222" spans="1:31" s="54" customFormat="1" x14ac:dyDescent="0.35">
      <c r="A222" s="57">
        <v>219</v>
      </c>
      <c r="B222" s="35"/>
      <c r="C222" s="35"/>
      <c r="D222" s="46" t="s">
        <v>11</v>
      </c>
      <c r="E222" s="46" t="s">
        <v>0</v>
      </c>
      <c r="F222" s="54">
        <f t="shared" ref="F222" si="304">SUM(F223:F225)</f>
        <v>23.49195667</v>
      </c>
      <c r="G222" s="54">
        <f t="shared" ref="G222:H222" si="305">SUM(G223:G225)</f>
        <v>11.321346</v>
      </c>
      <c r="H222" s="54">
        <f t="shared" si="305"/>
        <v>9.3311100000000007</v>
      </c>
      <c r="I222" s="54">
        <f t="shared" ref="I222" si="306">SUM(I223:I225)</f>
        <v>9.5901479999999992</v>
      </c>
      <c r="J222" s="54">
        <f t="shared" ref="J222:K222" si="307">SUM(J223:J225)</f>
        <v>0</v>
      </c>
      <c r="K222" s="54">
        <f t="shared" si="307"/>
        <v>0</v>
      </c>
      <c r="L222" s="54">
        <f t="shared" ref="L222:AB222" si="308">SUM(L223:L225)</f>
        <v>0</v>
      </c>
      <c r="M222" s="54">
        <f t="shared" si="308"/>
        <v>0</v>
      </c>
      <c r="N222" s="54">
        <f t="shared" si="308"/>
        <v>0</v>
      </c>
      <c r="O222" s="54">
        <f t="shared" si="308"/>
        <v>0</v>
      </c>
      <c r="P222" s="54">
        <f t="shared" si="308"/>
        <v>0</v>
      </c>
      <c r="Q222" s="54">
        <f t="shared" si="308"/>
        <v>0</v>
      </c>
      <c r="R222" s="54">
        <f t="shared" si="308"/>
        <v>0</v>
      </c>
      <c r="S222" s="54">
        <f t="shared" si="308"/>
        <v>0</v>
      </c>
      <c r="T222" s="54">
        <f t="shared" si="308"/>
        <v>0</v>
      </c>
      <c r="U222" s="54">
        <f t="shared" si="308"/>
        <v>0</v>
      </c>
      <c r="V222" s="54">
        <f t="shared" si="308"/>
        <v>0</v>
      </c>
      <c r="W222" s="54">
        <f t="shared" si="308"/>
        <v>0</v>
      </c>
      <c r="X222" s="54">
        <f t="shared" si="308"/>
        <v>0</v>
      </c>
      <c r="Y222" s="54">
        <f t="shared" si="308"/>
        <v>0</v>
      </c>
      <c r="Z222" s="54">
        <f t="shared" si="308"/>
        <v>0</v>
      </c>
      <c r="AA222" s="54">
        <f t="shared" si="308"/>
        <v>0</v>
      </c>
      <c r="AB222" s="54">
        <f t="shared" si="308"/>
        <v>0</v>
      </c>
      <c r="AC222" s="54">
        <f t="shared" ref="AC222" si="309">SUM(AC223:AC225)</f>
        <v>0</v>
      </c>
      <c r="AD222" s="54">
        <v>0</v>
      </c>
      <c r="AE222" s="54">
        <v>0</v>
      </c>
    </row>
    <row r="223" spans="1:31" s="55" customFormat="1" x14ac:dyDescent="0.35">
      <c r="A223" s="57">
        <v>220</v>
      </c>
      <c r="B223" s="35"/>
      <c r="C223" s="35"/>
      <c r="D223" s="47" t="s">
        <v>21</v>
      </c>
      <c r="E223" s="47" t="s">
        <v>20</v>
      </c>
      <c r="F223" s="55">
        <v>23.49195667</v>
      </c>
      <c r="G223" s="55">
        <v>11.321346</v>
      </c>
      <c r="H223" s="55">
        <v>9.3311100000000007</v>
      </c>
      <c r="I223" s="55">
        <v>9.5901479999999992</v>
      </c>
      <c r="J223" s="55">
        <v>0</v>
      </c>
      <c r="K223" s="55">
        <v>0</v>
      </c>
      <c r="L223" s="55">
        <v>0</v>
      </c>
      <c r="M223" s="55">
        <v>0</v>
      </c>
      <c r="N223" s="55">
        <v>0</v>
      </c>
      <c r="O223" s="55">
        <v>0</v>
      </c>
      <c r="P223" s="55">
        <v>0</v>
      </c>
      <c r="Q223" s="55">
        <v>0</v>
      </c>
      <c r="R223" s="55">
        <v>0</v>
      </c>
      <c r="S223" s="55">
        <v>0</v>
      </c>
      <c r="T223" s="55">
        <v>0</v>
      </c>
      <c r="U223" s="55">
        <v>0</v>
      </c>
      <c r="V223" s="55">
        <v>0</v>
      </c>
      <c r="W223" s="55">
        <v>0</v>
      </c>
      <c r="X223" s="55">
        <v>0</v>
      </c>
      <c r="Y223" s="55">
        <v>0</v>
      </c>
      <c r="Z223" s="55">
        <v>0</v>
      </c>
      <c r="AA223" s="55">
        <v>0</v>
      </c>
      <c r="AB223" s="55">
        <v>0</v>
      </c>
      <c r="AC223" s="55">
        <v>0</v>
      </c>
      <c r="AD223" s="55">
        <v>0</v>
      </c>
      <c r="AE223" s="55">
        <v>0</v>
      </c>
    </row>
    <row r="224" spans="1:31" s="55" customFormat="1" x14ac:dyDescent="0.35">
      <c r="A224" s="57">
        <v>221</v>
      </c>
      <c r="B224" s="35"/>
      <c r="C224" s="35"/>
      <c r="D224" s="47" t="s">
        <v>12</v>
      </c>
      <c r="E224" s="47" t="s">
        <v>22</v>
      </c>
      <c r="F224" s="55">
        <v>0</v>
      </c>
      <c r="G224" s="55">
        <v>0</v>
      </c>
      <c r="H224" s="55">
        <v>0</v>
      </c>
      <c r="I224" s="55">
        <v>0</v>
      </c>
      <c r="J224" s="55">
        <v>0</v>
      </c>
      <c r="K224" s="55">
        <v>0</v>
      </c>
      <c r="L224" s="55">
        <v>0</v>
      </c>
      <c r="M224" s="55">
        <v>0</v>
      </c>
      <c r="N224" s="55">
        <v>0</v>
      </c>
      <c r="O224" s="55">
        <v>0</v>
      </c>
      <c r="P224" s="55">
        <v>0</v>
      </c>
      <c r="Q224" s="55">
        <v>0</v>
      </c>
      <c r="R224" s="55">
        <v>0</v>
      </c>
      <c r="S224" s="55">
        <v>0</v>
      </c>
      <c r="T224" s="55">
        <v>0</v>
      </c>
      <c r="U224" s="55">
        <v>0</v>
      </c>
      <c r="V224" s="55">
        <v>0</v>
      </c>
      <c r="W224" s="55">
        <v>0</v>
      </c>
      <c r="X224" s="55">
        <v>0</v>
      </c>
      <c r="Y224" s="55">
        <v>0</v>
      </c>
      <c r="Z224" s="55">
        <v>0</v>
      </c>
      <c r="AA224" s="55">
        <v>0</v>
      </c>
      <c r="AB224" s="55">
        <v>0</v>
      </c>
      <c r="AC224" s="55">
        <v>0</v>
      </c>
      <c r="AD224" s="55">
        <v>0</v>
      </c>
      <c r="AE224" s="55">
        <v>0</v>
      </c>
    </row>
    <row r="225" spans="1:31" s="58" customFormat="1" x14ac:dyDescent="0.35">
      <c r="A225" s="57">
        <v>222</v>
      </c>
      <c r="B225" s="35"/>
      <c r="C225" s="35"/>
      <c r="D225" s="47" t="s">
        <v>13</v>
      </c>
      <c r="E225" s="47" t="s">
        <v>23</v>
      </c>
    </row>
    <row r="226" spans="1:31" s="54" customFormat="1" x14ac:dyDescent="0.35">
      <c r="A226" s="57">
        <v>223</v>
      </c>
      <c r="B226" s="35"/>
      <c r="C226" s="35"/>
      <c r="D226" s="46" t="s">
        <v>1</v>
      </c>
      <c r="E226" s="46" t="s">
        <v>24</v>
      </c>
      <c r="F226" s="54">
        <v>0</v>
      </c>
      <c r="G226" s="54">
        <v>0</v>
      </c>
      <c r="H226" s="54">
        <v>0</v>
      </c>
      <c r="I226" s="54">
        <v>0</v>
      </c>
      <c r="J226" s="54">
        <v>0</v>
      </c>
      <c r="K226" s="54">
        <v>0</v>
      </c>
      <c r="L226" s="54">
        <v>0</v>
      </c>
      <c r="M226" s="54">
        <v>0</v>
      </c>
      <c r="N226" s="54">
        <v>0</v>
      </c>
      <c r="O226" s="54">
        <v>0</v>
      </c>
      <c r="P226" s="54">
        <v>0</v>
      </c>
      <c r="Q226" s="54">
        <v>0</v>
      </c>
      <c r="R226" s="54">
        <v>0</v>
      </c>
      <c r="S226" s="54">
        <v>0</v>
      </c>
      <c r="T226" s="54">
        <v>0</v>
      </c>
      <c r="U226" s="54">
        <v>0</v>
      </c>
      <c r="V226" s="54">
        <v>0</v>
      </c>
      <c r="W226" s="54">
        <v>0</v>
      </c>
      <c r="X226" s="54">
        <v>0</v>
      </c>
      <c r="Y226" s="54">
        <v>0</v>
      </c>
      <c r="Z226" s="54">
        <v>0</v>
      </c>
      <c r="AA226" s="54">
        <v>0</v>
      </c>
      <c r="AB226" s="54">
        <v>0</v>
      </c>
      <c r="AC226" s="54">
        <v>0</v>
      </c>
      <c r="AD226" s="54">
        <v>0</v>
      </c>
      <c r="AE226" s="54">
        <v>0</v>
      </c>
    </row>
    <row r="227" spans="1:31" s="54" customFormat="1" x14ac:dyDescent="0.35">
      <c r="A227" s="57">
        <v>224</v>
      </c>
      <c r="B227" s="35"/>
      <c r="C227" s="35"/>
      <c r="D227" s="46" t="s">
        <v>25</v>
      </c>
      <c r="E227" s="46" t="s">
        <v>26</v>
      </c>
      <c r="F227" s="54">
        <v>0</v>
      </c>
      <c r="G227" s="54">
        <v>0</v>
      </c>
      <c r="H227" s="54">
        <v>0</v>
      </c>
      <c r="I227" s="54">
        <v>0</v>
      </c>
      <c r="J227" s="54">
        <v>0</v>
      </c>
      <c r="K227" s="54">
        <v>0</v>
      </c>
      <c r="L227" s="54">
        <v>0</v>
      </c>
      <c r="M227" s="54">
        <v>0</v>
      </c>
      <c r="N227" s="54">
        <v>0</v>
      </c>
      <c r="O227" s="54">
        <v>0</v>
      </c>
      <c r="P227" s="54">
        <v>0</v>
      </c>
      <c r="Q227" s="54">
        <v>0</v>
      </c>
      <c r="R227" s="54">
        <v>0</v>
      </c>
      <c r="S227" s="54">
        <v>0</v>
      </c>
      <c r="T227" s="54">
        <v>0</v>
      </c>
      <c r="U227" s="54">
        <v>0</v>
      </c>
      <c r="V227" s="54">
        <v>0</v>
      </c>
      <c r="W227" s="54">
        <v>0</v>
      </c>
      <c r="X227" s="54">
        <v>0</v>
      </c>
      <c r="Y227" s="54">
        <v>0</v>
      </c>
      <c r="Z227" s="54">
        <v>0</v>
      </c>
      <c r="AA227" s="54">
        <v>0</v>
      </c>
      <c r="AB227" s="54">
        <v>0</v>
      </c>
      <c r="AC227" s="54">
        <v>0</v>
      </c>
      <c r="AD227" s="54">
        <v>0</v>
      </c>
      <c r="AE227" s="54">
        <v>0</v>
      </c>
    </row>
    <row r="228" spans="1:31" s="52" customFormat="1" ht="15.5" x14ac:dyDescent="0.35">
      <c r="A228" s="57">
        <v>225</v>
      </c>
      <c r="B228" s="35"/>
      <c r="C228" s="35"/>
      <c r="D228" s="45" t="s">
        <v>15</v>
      </c>
      <c r="E228" s="45" t="s">
        <v>17</v>
      </c>
      <c r="F228" s="52">
        <v>112.84189240000001</v>
      </c>
      <c r="G228" s="52">
        <v>190.66160242000001</v>
      </c>
      <c r="H228" s="52">
        <v>161.97575880000002</v>
      </c>
      <c r="I228" s="52">
        <v>129.91686480000001</v>
      </c>
      <c r="J228" s="52">
        <v>100.7662734</v>
      </c>
      <c r="K228" s="52">
        <v>100.7662734</v>
      </c>
      <c r="L228" s="52">
        <v>100.7662734</v>
      </c>
      <c r="M228" s="52">
        <v>123.74984140000001</v>
      </c>
      <c r="N228" s="52">
        <v>123.74984140000001</v>
      </c>
      <c r="O228" s="52">
        <v>123.74984140000001</v>
      </c>
      <c r="P228" s="52">
        <v>123.74984140000001</v>
      </c>
      <c r="Q228" s="52">
        <v>123.74984140000001</v>
      </c>
      <c r="R228" s="52">
        <v>123.74984140000001</v>
      </c>
      <c r="S228" s="52">
        <v>123.74984140000001</v>
      </c>
      <c r="T228" s="52">
        <v>123.74984140000001</v>
      </c>
      <c r="U228" s="52">
        <v>123.74984140000001</v>
      </c>
      <c r="V228" s="52">
        <v>118.8228544</v>
      </c>
      <c r="W228" s="52">
        <v>118.8228544</v>
      </c>
      <c r="X228" s="52">
        <v>118.8228544</v>
      </c>
      <c r="Y228" s="52">
        <v>118.8228544</v>
      </c>
      <c r="Z228" s="52">
        <v>114.4532844</v>
      </c>
      <c r="AA228" s="52">
        <v>114.453284</v>
      </c>
      <c r="AB228" s="52">
        <v>114.453284</v>
      </c>
      <c r="AC228" s="52">
        <v>114.453284</v>
      </c>
      <c r="AD228" s="52">
        <v>112.411985</v>
      </c>
      <c r="AE228" s="52">
        <v>112.411985</v>
      </c>
    </row>
    <row r="229" spans="1:31" s="51" customFormat="1" ht="9" customHeight="1" x14ac:dyDescent="0.35">
      <c r="A229" s="57">
        <v>226</v>
      </c>
      <c r="B229" s="35"/>
      <c r="C229" s="35"/>
      <c r="D229" s="49"/>
      <c r="E229" s="49"/>
      <c r="F229" s="51">
        <v>0</v>
      </c>
      <c r="G229" s="51">
        <v>0</v>
      </c>
      <c r="H229" s="51">
        <v>0</v>
      </c>
      <c r="I229" s="51">
        <v>0</v>
      </c>
      <c r="J229" s="51">
        <v>0</v>
      </c>
      <c r="K229" s="51">
        <v>0</v>
      </c>
      <c r="L229" s="51">
        <v>0</v>
      </c>
      <c r="M229" s="51">
        <v>0</v>
      </c>
      <c r="N229" s="51">
        <v>0</v>
      </c>
      <c r="O229" s="51">
        <v>0</v>
      </c>
      <c r="P229" s="51">
        <v>0</v>
      </c>
      <c r="Q229" s="51">
        <v>0</v>
      </c>
      <c r="R229" s="51">
        <v>0</v>
      </c>
      <c r="S229" s="51">
        <v>0</v>
      </c>
      <c r="T229" s="51">
        <v>0</v>
      </c>
      <c r="U229" s="51">
        <v>0</v>
      </c>
      <c r="V229" s="51">
        <v>0</v>
      </c>
      <c r="W229" s="51">
        <v>0</v>
      </c>
      <c r="X229" s="51">
        <v>0</v>
      </c>
      <c r="Y229" s="51">
        <v>0</v>
      </c>
      <c r="Z229" s="51">
        <v>0</v>
      </c>
      <c r="AA229" s="51">
        <v>0</v>
      </c>
      <c r="AB229" s="51">
        <v>0</v>
      </c>
      <c r="AC229" s="51">
        <v>0</v>
      </c>
      <c r="AD229" s="51">
        <v>0</v>
      </c>
      <c r="AE229" s="51">
        <v>0</v>
      </c>
    </row>
    <row r="230" spans="1:31" s="56" customFormat="1" ht="35.15" customHeight="1" x14ac:dyDescent="0.45">
      <c r="A230" s="57">
        <v>227</v>
      </c>
      <c r="B230" s="50" t="s">
        <v>29</v>
      </c>
      <c r="C230" s="42"/>
      <c r="D230" s="42"/>
      <c r="E230" s="35"/>
    </row>
    <row r="231" spans="1:31" s="56" customFormat="1" ht="26.15" customHeight="1" x14ac:dyDescent="0.45">
      <c r="A231" s="57">
        <v>228</v>
      </c>
      <c r="B231" s="42"/>
      <c r="C231" s="44" t="s">
        <v>6</v>
      </c>
      <c r="D231" s="44"/>
      <c r="E231" s="35"/>
    </row>
    <row r="232" spans="1:31" s="52" customFormat="1" ht="18" customHeight="1" x14ac:dyDescent="0.35">
      <c r="A232" s="57">
        <v>229</v>
      </c>
      <c r="B232" s="35"/>
      <c r="C232" s="35"/>
      <c r="D232" s="45" t="s">
        <v>9</v>
      </c>
      <c r="E232" s="45" t="s">
        <v>30</v>
      </c>
      <c r="F232" s="52">
        <f t="shared" ref="F232:K232" si="310">F233+F234+F238+F239</f>
        <v>3591.4928426000001</v>
      </c>
      <c r="G232" s="52">
        <f t="shared" si="310"/>
        <v>5376.1411723033998</v>
      </c>
      <c r="H232" s="52">
        <f t="shared" si="310"/>
        <v>7671.2113580000005</v>
      </c>
      <c r="I232" s="52">
        <f t="shared" si="310"/>
        <v>7521.6374956000009</v>
      </c>
      <c r="J232" s="52">
        <f t="shared" si="310"/>
        <v>6032.8554927600007</v>
      </c>
      <c r="K232" s="52">
        <f t="shared" si="310"/>
        <v>5933.6568398500012</v>
      </c>
      <c r="L232" s="52">
        <f t="shared" ref="L232" si="311">L233+L234+L238+L239</f>
        <v>9637.8137396000002</v>
      </c>
      <c r="M232" s="52">
        <f t="shared" ref="M232" si="312">M233+M234+M238+M239</f>
        <v>11989.754179750002</v>
      </c>
      <c r="N232" s="52">
        <f t="shared" ref="N232" si="313">N233+N234+N238+N239</f>
        <v>10302.350695959998</v>
      </c>
      <c r="O232" s="52">
        <f t="shared" ref="O232" si="314">O233+O234+O238+O239</f>
        <v>11937.870978430001</v>
      </c>
      <c r="P232" s="52">
        <f t="shared" ref="P232" si="315">P233+P234+P238+P239</f>
        <v>13028.1006284</v>
      </c>
      <c r="Q232" s="52">
        <f t="shared" ref="Q232" si="316">Q233+Q234+Q238+Q239</f>
        <v>11836.16233087</v>
      </c>
      <c r="R232" s="52">
        <f t="shared" ref="R232" si="317">R233+R234+R238+R239</f>
        <v>14921.367349710001</v>
      </c>
      <c r="S232" s="52">
        <f t="shared" ref="S232" si="318">S233+S234+S238+S239</f>
        <v>12459.7336338</v>
      </c>
      <c r="T232" s="52">
        <f t="shared" ref="T232" si="319">T233+T234+T238+T239</f>
        <v>12806.29945516</v>
      </c>
      <c r="U232" s="52">
        <f t="shared" ref="U232" si="320">U233+U234+U238+U239</f>
        <v>17714.467853729999</v>
      </c>
      <c r="V232" s="52">
        <f t="shared" ref="V232" si="321">V233+V234+V238+V239</f>
        <v>9629.7735932800006</v>
      </c>
      <c r="W232" s="52">
        <f t="shared" ref="W232" si="322">W233+W234+W238+W239</f>
        <v>8110.7162146500013</v>
      </c>
      <c r="X232" s="52">
        <f t="shared" ref="X232" si="323">X233+X234+X238+X239</f>
        <v>9335.0297105800018</v>
      </c>
      <c r="Y232" s="52">
        <f t="shared" ref="Y232" si="324">Y233+Y234+Y238+Y239</f>
        <v>12566.456029550001</v>
      </c>
      <c r="Z232" s="52">
        <f t="shared" ref="Z232" si="325">Z233+Z234+Z238+Z239</f>
        <v>11429.833540290001</v>
      </c>
      <c r="AA232" s="52">
        <f t="shared" ref="AA232" si="326">AA233+AA234+AA238+AA239</f>
        <v>12189.23645692</v>
      </c>
      <c r="AB232" s="52">
        <f t="shared" ref="AB232:AC232" si="327">AB233+AB234+AB238+AB239</f>
        <v>11865.397014040002</v>
      </c>
      <c r="AC232" s="52">
        <f t="shared" si="327"/>
        <v>13661.629745590002</v>
      </c>
      <c r="AD232" s="52">
        <v>15499.56423616</v>
      </c>
      <c r="AE232" s="52">
        <v>16407.160824990002</v>
      </c>
    </row>
    <row r="233" spans="1:31" s="54" customFormat="1" x14ac:dyDescent="0.35">
      <c r="A233" s="57">
        <v>230</v>
      </c>
      <c r="B233" s="35"/>
      <c r="C233" s="35"/>
      <c r="D233" s="46" t="s">
        <v>10</v>
      </c>
      <c r="E233" s="46" t="s">
        <v>18</v>
      </c>
      <c r="F233" s="54">
        <v>0</v>
      </c>
      <c r="G233" s="54">
        <v>0</v>
      </c>
      <c r="H233" s="54">
        <v>0</v>
      </c>
      <c r="I233" s="54">
        <v>0</v>
      </c>
      <c r="J233" s="54">
        <v>0</v>
      </c>
      <c r="K233" s="54">
        <v>0</v>
      </c>
      <c r="L233" s="54">
        <v>0</v>
      </c>
      <c r="M233" s="54">
        <v>0</v>
      </c>
      <c r="N233" s="54">
        <v>0</v>
      </c>
      <c r="O233" s="54">
        <v>0</v>
      </c>
      <c r="P233" s="54">
        <v>0</v>
      </c>
      <c r="Q233" s="54">
        <v>0</v>
      </c>
      <c r="R233" s="54">
        <v>0</v>
      </c>
      <c r="S233" s="54">
        <v>0</v>
      </c>
      <c r="T233" s="54">
        <v>0</v>
      </c>
      <c r="U233" s="54">
        <v>0</v>
      </c>
      <c r="V233" s="54">
        <v>0</v>
      </c>
      <c r="W233" s="54">
        <v>0</v>
      </c>
      <c r="X233" s="54">
        <v>0</v>
      </c>
      <c r="Y233" s="54">
        <v>0</v>
      </c>
      <c r="Z233" s="54">
        <v>0</v>
      </c>
      <c r="AA233" s="54">
        <v>0</v>
      </c>
      <c r="AB233" s="54">
        <v>0</v>
      </c>
      <c r="AC233" s="54">
        <v>0</v>
      </c>
      <c r="AD233" s="54">
        <v>0</v>
      </c>
      <c r="AE233" s="54">
        <v>0</v>
      </c>
    </row>
    <row r="234" spans="1:31" s="54" customFormat="1" x14ac:dyDescent="0.35">
      <c r="A234" s="57">
        <v>231</v>
      </c>
      <c r="B234" s="35"/>
      <c r="C234" s="35"/>
      <c r="D234" s="46" t="s">
        <v>11</v>
      </c>
      <c r="E234" s="46" t="s">
        <v>0</v>
      </c>
      <c r="F234" s="54">
        <f t="shared" ref="F234:K234" si="328">SUM(F235:F237)</f>
        <v>3591.4928426000001</v>
      </c>
      <c r="G234" s="54">
        <f t="shared" si="328"/>
        <v>5376.1411723033998</v>
      </c>
      <c r="H234" s="54">
        <f t="shared" si="328"/>
        <v>7671.2113580000005</v>
      </c>
      <c r="I234" s="54">
        <f t="shared" si="328"/>
        <v>7521.6374956000009</v>
      </c>
      <c r="J234" s="54">
        <f t="shared" si="328"/>
        <v>6032.8554927600007</v>
      </c>
      <c r="K234" s="54">
        <f t="shared" si="328"/>
        <v>5933.6568398500012</v>
      </c>
      <c r="L234" s="54">
        <f t="shared" ref="L234" si="329">SUM(L235:L237)</f>
        <v>9637.8137396000002</v>
      </c>
      <c r="M234" s="54">
        <f t="shared" ref="M234" si="330">SUM(M235:M237)</f>
        <v>11989.754179750002</v>
      </c>
      <c r="N234" s="54">
        <f t="shared" ref="N234" si="331">SUM(N235:N237)</f>
        <v>10302.350695959998</v>
      </c>
      <c r="O234" s="54">
        <f t="shared" ref="O234" si="332">SUM(O235:O237)</f>
        <v>11937.870978430001</v>
      </c>
      <c r="P234" s="54">
        <f t="shared" ref="P234" si="333">SUM(P235:P237)</f>
        <v>13028.1006284</v>
      </c>
      <c r="Q234" s="54">
        <f t="shared" ref="Q234" si="334">SUM(Q235:Q237)</f>
        <v>11836.16233087</v>
      </c>
      <c r="R234" s="54">
        <f t="shared" ref="R234" si="335">SUM(R235:R237)</f>
        <v>14921.367349710001</v>
      </c>
      <c r="S234" s="54">
        <f t="shared" ref="S234" si="336">SUM(S235:S237)</f>
        <v>12459.7336338</v>
      </c>
      <c r="T234" s="54">
        <f t="shared" ref="T234" si="337">SUM(T235:T237)</f>
        <v>12806.29945516</v>
      </c>
      <c r="U234" s="54">
        <f t="shared" ref="U234" si="338">SUM(U235:U237)</f>
        <v>17714.467853729999</v>
      </c>
      <c r="V234" s="54">
        <f t="shared" ref="V234" si="339">SUM(V235:V237)</f>
        <v>9629.7735932800006</v>
      </c>
      <c r="W234" s="54">
        <f t="shared" ref="W234" si="340">SUM(W235:W237)</f>
        <v>8110.7162146500013</v>
      </c>
      <c r="X234" s="54">
        <f t="shared" ref="X234" si="341">SUM(X235:X237)</f>
        <v>9335.0297105800018</v>
      </c>
      <c r="Y234" s="54">
        <f t="shared" ref="Y234" si="342">SUM(Y235:Y237)</f>
        <v>12566.456029550001</v>
      </c>
      <c r="Z234" s="54">
        <f t="shared" ref="Z234" si="343">SUM(Z235:Z237)</f>
        <v>11429.833540290001</v>
      </c>
      <c r="AA234" s="54">
        <f t="shared" ref="AA234" si="344">SUM(AA235:AA237)</f>
        <v>12189.23645692</v>
      </c>
      <c r="AB234" s="54">
        <f t="shared" ref="AB234:AC234" si="345">SUM(AB235:AB237)</f>
        <v>11865.397014040002</v>
      </c>
      <c r="AC234" s="54">
        <f t="shared" si="345"/>
        <v>13661.629745590002</v>
      </c>
      <c r="AD234" s="54">
        <v>15499.56423616</v>
      </c>
      <c r="AE234" s="54">
        <v>16407.160824990002</v>
      </c>
    </row>
    <row r="235" spans="1:31" s="55" customFormat="1" x14ac:dyDescent="0.35">
      <c r="A235" s="57">
        <v>232</v>
      </c>
      <c r="B235" s="35"/>
      <c r="C235" s="35"/>
      <c r="D235" s="47" t="s">
        <v>21</v>
      </c>
      <c r="E235" s="47" t="s">
        <v>20</v>
      </c>
      <c r="F235" s="55">
        <v>3591.4928426000001</v>
      </c>
      <c r="G235" s="55">
        <v>5376.1411723033998</v>
      </c>
      <c r="H235" s="55">
        <v>7671.2113580000005</v>
      </c>
      <c r="I235" s="55">
        <v>7521.6374956000009</v>
      </c>
      <c r="J235" s="55">
        <v>6032.8554927600007</v>
      </c>
      <c r="K235" s="55">
        <v>5933.6568398500012</v>
      </c>
      <c r="L235" s="55">
        <v>9637.8137396000002</v>
      </c>
      <c r="M235" s="55">
        <v>11989.754179750002</v>
      </c>
      <c r="N235" s="55">
        <v>10302.350695959998</v>
      </c>
      <c r="O235" s="55">
        <v>11937.870978430001</v>
      </c>
      <c r="P235" s="55">
        <v>13028.1006284</v>
      </c>
      <c r="Q235" s="55">
        <v>11836.16233087</v>
      </c>
      <c r="R235" s="55">
        <v>14921.367349710001</v>
      </c>
      <c r="S235" s="55">
        <v>12459.7336338</v>
      </c>
      <c r="T235" s="55">
        <v>12806.29945516</v>
      </c>
      <c r="U235" s="55">
        <v>17714.467853729999</v>
      </c>
      <c r="V235" s="55">
        <v>9629.7735932800006</v>
      </c>
      <c r="W235" s="55">
        <v>8110.7162146500013</v>
      </c>
      <c r="X235" s="55">
        <v>9335.0297105800018</v>
      </c>
      <c r="Y235" s="55">
        <v>12566.456029550001</v>
      </c>
      <c r="Z235" s="55">
        <v>11429.833540290001</v>
      </c>
      <c r="AA235" s="55">
        <v>12189.23645692</v>
      </c>
      <c r="AB235" s="55">
        <v>11865.397014040002</v>
      </c>
      <c r="AC235" s="55">
        <v>13661.629745590002</v>
      </c>
      <c r="AD235" s="55">
        <v>15499.56423616</v>
      </c>
      <c r="AE235" s="55">
        <v>16407.160824990002</v>
      </c>
    </row>
    <row r="236" spans="1:31" s="55" customFormat="1" x14ac:dyDescent="0.35">
      <c r="A236" s="57">
        <v>233</v>
      </c>
      <c r="B236" s="35"/>
      <c r="C236" s="35"/>
      <c r="D236" s="47" t="s">
        <v>12</v>
      </c>
      <c r="E236" s="47" t="s">
        <v>22</v>
      </c>
      <c r="F236" s="55">
        <v>0</v>
      </c>
      <c r="G236" s="55">
        <v>0</v>
      </c>
      <c r="H236" s="55">
        <v>0</v>
      </c>
      <c r="I236" s="55">
        <v>0</v>
      </c>
      <c r="J236" s="55">
        <v>0</v>
      </c>
      <c r="K236" s="55">
        <v>0</v>
      </c>
      <c r="L236" s="55">
        <v>0</v>
      </c>
      <c r="M236" s="55">
        <v>0</v>
      </c>
      <c r="N236" s="55">
        <v>0</v>
      </c>
      <c r="O236" s="55">
        <v>0</v>
      </c>
      <c r="P236" s="55">
        <v>0</v>
      </c>
      <c r="Q236" s="55">
        <v>0</v>
      </c>
      <c r="R236" s="55">
        <v>0</v>
      </c>
      <c r="S236" s="55">
        <v>0</v>
      </c>
      <c r="T236" s="55">
        <v>0</v>
      </c>
      <c r="U236" s="55">
        <v>0</v>
      </c>
      <c r="V236" s="55">
        <v>0</v>
      </c>
      <c r="W236" s="55">
        <v>0</v>
      </c>
      <c r="X236" s="55">
        <v>0</v>
      </c>
      <c r="Y236" s="55">
        <v>0</v>
      </c>
      <c r="Z236" s="55">
        <v>0</v>
      </c>
      <c r="AA236" s="55">
        <v>0</v>
      </c>
      <c r="AB236" s="55">
        <v>0</v>
      </c>
      <c r="AC236" s="55">
        <v>0</v>
      </c>
      <c r="AD236" s="55">
        <v>0</v>
      </c>
      <c r="AE236" s="55">
        <v>0</v>
      </c>
    </row>
    <row r="237" spans="1:31" s="55" customFormat="1" x14ac:dyDescent="0.35">
      <c r="A237" s="57">
        <v>234</v>
      </c>
      <c r="B237" s="35"/>
      <c r="C237" s="35"/>
      <c r="D237" s="47" t="s">
        <v>13</v>
      </c>
      <c r="E237" s="47" t="s">
        <v>23</v>
      </c>
      <c r="F237" s="55">
        <v>0</v>
      </c>
      <c r="G237" s="55">
        <v>0</v>
      </c>
      <c r="H237" s="55">
        <v>0</v>
      </c>
      <c r="I237" s="55">
        <v>0</v>
      </c>
      <c r="J237" s="55">
        <v>0</v>
      </c>
      <c r="K237" s="55">
        <v>0</v>
      </c>
      <c r="L237" s="55">
        <v>0</v>
      </c>
      <c r="M237" s="55">
        <v>0</v>
      </c>
      <c r="N237" s="55">
        <v>0</v>
      </c>
      <c r="O237" s="55">
        <v>0</v>
      </c>
      <c r="P237" s="55">
        <v>0</v>
      </c>
      <c r="Q237" s="55">
        <v>0</v>
      </c>
      <c r="R237" s="55">
        <v>0</v>
      </c>
      <c r="S237" s="55">
        <v>0</v>
      </c>
      <c r="T237" s="55">
        <v>0</v>
      </c>
      <c r="U237" s="55">
        <v>0</v>
      </c>
      <c r="V237" s="55">
        <v>0</v>
      </c>
      <c r="W237" s="55">
        <v>0</v>
      </c>
      <c r="X237" s="55">
        <v>0</v>
      </c>
      <c r="Y237" s="55">
        <v>0</v>
      </c>
      <c r="Z237" s="55">
        <v>0</v>
      </c>
      <c r="AA237" s="55">
        <v>0</v>
      </c>
      <c r="AB237" s="55">
        <v>0</v>
      </c>
      <c r="AC237" s="55">
        <v>0</v>
      </c>
      <c r="AD237" s="55">
        <v>0</v>
      </c>
      <c r="AE237" s="55">
        <v>0</v>
      </c>
    </row>
    <row r="238" spans="1:31" s="58" customFormat="1" x14ac:dyDescent="0.35">
      <c r="A238" s="57">
        <v>235</v>
      </c>
      <c r="B238" s="35"/>
      <c r="C238" s="35"/>
      <c r="D238" s="46" t="s">
        <v>14</v>
      </c>
      <c r="E238" s="46" t="s">
        <v>24</v>
      </c>
    </row>
    <row r="239" spans="1:31" s="55" customFormat="1" x14ac:dyDescent="0.35">
      <c r="A239" s="57">
        <v>236</v>
      </c>
      <c r="B239" s="35"/>
      <c r="C239" s="35"/>
      <c r="D239" s="46" t="s">
        <v>25</v>
      </c>
      <c r="E239" s="46" t="s">
        <v>26</v>
      </c>
      <c r="F239" s="55">
        <v>0</v>
      </c>
      <c r="G239" s="55">
        <v>0</v>
      </c>
      <c r="H239" s="55">
        <v>0</v>
      </c>
      <c r="I239" s="55">
        <v>0</v>
      </c>
      <c r="J239" s="55">
        <v>0</v>
      </c>
      <c r="K239" s="55">
        <v>0</v>
      </c>
      <c r="L239" s="55">
        <v>0</v>
      </c>
      <c r="M239" s="55">
        <v>0</v>
      </c>
      <c r="N239" s="55">
        <v>0</v>
      </c>
      <c r="O239" s="55">
        <v>0</v>
      </c>
      <c r="P239" s="55">
        <v>0</v>
      </c>
      <c r="Q239" s="55">
        <v>0</v>
      </c>
      <c r="R239" s="55">
        <v>0</v>
      </c>
      <c r="S239" s="55">
        <v>0</v>
      </c>
      <c r="T239" s="55">
        <v>0</v>
      </c>
      <c r="U239" s="55">
        <v>0</v>
      </c>
      <c r="V239" s="55">
        <v>0</v>
      </c>
      <c r="W239" s="55">
        <v>0</v>
      </c>
      <c r="X239" s="55">
        <v>0</v>
      </c>
      <c r="Y239" s="55">
        <v>0</v>
      </c>
      <c r="Z239" s="55">
        <v>0</v>
      </c>
      <c r="AA239" s="55">
        <v>0</v>
      </c>
      <c r="AB239" s="55">
        <v>0</v>
      </c>
      <c r="AC239" s="55">
        <v>0</v>
      </c>
      <c r="AD239" s="55">
        <v>0</v>
      </c>
      <c r="AE239" s="55">
        <v>0</v>
      </c>
    </row>
    <row r="240" spans="1:31" s="52" customFormat="1" ht="15.5" x14ac:dyDescent="0.35">
      <c r="A240" s="57">
        <v>237</v>
      </c>
      <c r="B240" s="35"/>
      <c r="C240" s="35"/>
      <c r="D240" s="45" t="s">
        <v>15</v>
      </c>
      <c r="E240" s="45" t="s">
        <v>17</v>
      </c>
      <c r="F240" s="52">
        <v>0</v>
      </c>
      <c r="G240" s="52">
        <v>0</v>
      </c>
      <c r="H240" s="52">
        <v>0</v>
      </c>
      <c r="I240" s="52">
        <v>0</v>
      </c>
      <c r="J240" s="52">
        <v>0</v>
      </c>
      <c r="K240" s="52">
        <v>0</v>
      </c>
      <c r="L240" s="52">
        <v>0</v>
      </c>
      <c r="M240" s="52">
        <v>0</v>
      </c>
      <c r="N240" s="52">
        <v>0</v>
      </c>
      <c r="O240" s="52">
        <v>0</v>
      </c>
      <c r="P240" s="52">
        <v>0</v>
      </c>
      <c r="Q240" s="52">
        <v>0</v>
      </c>
      <c r="R240" s="52">
        <v>0</v>
      </c>
      <c r="S240" s="52">
        <v>0</v>
      </c>
      <c r="T240" s="52">
        <v>0</v>
      </c>
      <c r="U240" s="52">
        <v>0</v>
      </c>
      <c r="V240" s="52">
        <v>0</v>
      </c>
      <c r="W240" s="52">
        <v>0</v>
      </c>
      <c r="X240" s="52">
        <v>0</v>
      </c>
      <c r="Y240" s="52">
        <v>0</v>
      </c>
      <c r="Z240" s="52">
        <v>0</v>
      </c>
      <c r="AA240" s="52">
        <v>0</v>
      </c>
      <c r="AB240" s="52">
        <v>0</v>
      </c>
      <c r="AC240" s="52">
        <v>0</v>
      </c>
      <c r="AD240" s="52">
        <v>0</v>
      </c>
      <c r="AE240" s="52">
        <v>0</v>
      </c>
    </row>
    <row r="241" spans="1:31" s="51" customFormat="1" ht="9" customHeight="1" x14ac:dyDescent="0.35">
      <c r="A241" s="57">
        <v>238</v>
      </c>
      <c r="B241" s="35"/>
      <c r="C241" s="35"/>
      <c r="D241" s="49"/>
      <c r="E241" s="49"/>
      <c r="F241" s="51">
        <v>0</v>
      </c>
      <c r="G241" s="51">
        <v>0</v>
      </c>
      <c r="H241" s="51">
        <v>0</v>
      </c>
      <c r="I241" s="51">
        <v>0</v>
      </c>
      <c r="J241" s="51">
        <v>0</v>
      </c>
      <c r="K241" s="51">
        <v>0</v>
      </c>
      <c r="L241" s="51">
        <v>0</v>
      </c>
      <c r="M241" s="51">
        <v>0</v>
      </c>
      <c r="N241" s="51">
        <v>0</v>
      </c>
      <c r="O241" s="51">
        <v>0</v>
      </c>
      <c r="P241" s="51">
        <v>0</v>
      </c>
      <c r="Q241" s="51">
        <v>0</v>
      </c>
      <c r="R241" s="51">
        <v>0</v>
      </c>
      <c r="S241" s="51">
        <v>0</v>
      </c>
      <c r="T241" s="51">
        <v>0</v>
      </c>
      <c r="U241" s="51">
        <v>0</v>
      </c>
      <c r="V241" s="51">
        <v>0</v>
      </c>
      <c r="W241" s="51">
        <v>0</v>
      </c>
      <c r="X241" s="51">
        <v>0</v>
      </c>
      <c r="Y241" s="51">
        <v>0</v>
      </c>
      <c r="Z241" s="51">
        <v>0</v>
      </c>
      <c r="AA241" s="51">
        <v>0</v>
      </c>
      <c r="AB241" s="51">
        <v>0</v>
      </c>
      <c r="AC241" s="51">
        <v>0</v>
      </c>
      <c r="AD241" s="51">
        <v>0</v>
      </c>
      <c r="AE241" s="51">
        <v>0</v>
      </c>
    </row>
    <row r="242" spans="1:31" s="56" customFormat="1" ht="26.15" customHeight="1" x14ac:dyDescent="0.45">
      <c r="A242" s="57">
        <v>239</v>
      </c>
      <c r="B242" s="42"/>
      <c r="C242" s="44" t="s">
        <v>7</v>
      </c>
      <c r="D242" s="44"/>
      <c r="E242" s="35"/>
    </row>
    <row r="243" spans="1:31" s="52" customFormat="1" ht="18" customHeight="1" x14ac:dyDescent="0.35">
      <c r="A243" s="57">
        <v>240</v>
      </c>
      <c r="B243" s="35"/>
      <c r="C243" s="35"/>
      <c r="D243" s="45" t="s">
        <v>9</v>
      </c>
      <c r="E243" s="45" t="s">
        <v>30</v>
      </c>
      <c r="F243" s="52">
        <f t="shared" ref="F243:K243" si="346">F244+F245+F249+F250</f>
        <v>0</v>
      </c>
      <c r="G243" s="52">
        <f t="shared" si="346"/>
        <v>0</v>
      </c>
      <c r="H243" s="52">
        <f t="shared" si="346"/>
        <v>0</v>
      </c>
      <c r="I243" s="52">
        <f t="shared" si="346"/>
        <v>0</v>
      </c>
      <c r="J243" s="52">
        <f t="shared" si="346"/>
        <v>0</v>
      </c>
      <c r="K243" s="52">
        <f t="shared" si="346"/>
        <v>0</v>
      </c>
      <c r="L243" s="52">
        <f t="shared" ref="L243" si="347">L244+L245+L249+L250</f>
        <v>0</v>
      </c>
      <c r="M243" s="52">
        <f t="shared" ref="M243" si="348">M244+M245+M249+M250</f>
        <v>0</v>
      </c>
      <c r="N243" s="52">
        <f t="shared" ref="N243" si="349">N244+N245+N249+N250</f>
        <v>0</v>
      </c>
      <c r="O243" s="52">
        <f t="shared" ref="O243" si="350">O244+O245+O249+O250</f>
        <v>0</v>
      </c>
      <c r="P243" s="52">
        <f t="shared" ref="P243" si="351">P244+P245+P249+P250</f>
        <v>0</v>
      </c>
      <c r="Q243" s="52">
        <f t="shared" ref="Q243" si="352">Q244+Q245+Q249+Q250</f>
        <v>0</v>
      </c>
      <c r="R243" s="52">
        <f t="shared" ref="R243" si="353">R244+R245+R249+R250</f>
        <v>0</v>
      </c>
      <c r="S243" s="52">
        <f t="shared" ref="S243" si="354">S244+S245+S249+S250</f>
        <v>0</v>
      </c>
      <c r="T243" s="52">
        <f t="shared" ref="T243" si="355">T244+T245+T249+T250</f>
        <v>0</v>
      </c>
      <c r="U243" s="52">
        <f t="shared" ref="U243" si="356">U244+U245+U249+U250</f>
        <v>0</v>
      </c>
      <c r="V243" s="52">
        <f t="shared" ref="V243" si="357">V244+V245+V249+V250</f>
        <v>0</v>
      </c>
      <c r="W243" s="52">
        <f t="shared" ref="W243" si="358">W244+W245+W249+W250</f>
        <v>0</v>
      </c>
      <c r="X243" s="52">
        <f t="shared" ref="X243" si="359">X244+X245+X249+X250</f>
        <v>0</v>
      </c>
      <c r="Y243" s="52">
        <f t="shared" ref="Y243" si="360">Y244+Y245+Y249+Y250</f>
        <v>0</v>
      </c>
      <c r="Z243" s="52">
        <f t="shared" ref="Z243" si="361">Z244+Z245+Z249+Z250</f>
        <v>0</v>
      </c>
      <c r="AA243" s="52">
        <f t="shared" ref="AA243" si="362">AA244+AA245+AA249+AA250</f>
        <v>0</v>
      </c>
      <c r="AB243" s="52">
        <f t="shared" ref="AB243:AC243" si="363">AB244+AB245+AB249+AB250</f>
        <v>0</v>
      </c>
      <c r="AC243" s="52">
        <f t="shared" si="363"/>
        <v>0</v>
      </c>
      <c r="AD243" s="52">
        <v>0</v>
      </c>
      <c r="AE243" s="52">
        <v>0</v>
      </c>
    </row>
    <row r="244" spans="1:31" s="55" customFormat="1" x14ac:dyDescent="0.35">
      <c r="A244" s="57">
        <v>241</v>
      </c>
      <c r="B244" s="35"/>
      <c r="C244" s="35"/>
      <c r="D244" s="46" t="s">
        <v>10</v>
      </c>
      <c r="E244" s="46" t="s">
        <v>18</v>
      </c>
      <c r="F244" s="55">
        <v>0</v>
      </c>
      <c r="G244" s="55">
        <v>0</v>
      </c>
      <c r="H244" s="55">
        <v>0</v>
      </c>
      <c r="I244" s="55">
        <v>0</v>
      </c>
      <c r="J244" s="55">
        <v>0</v>
      </c>
      <c r="K244" s="55">
        <v>0</v>
      </c>
      <c r="L244" s="55">
        <v>0</v>
      </c>
      <c r="M244" s="55">
        <v>0</v>
      </c>
      <c r="N244" s="55">
        <v>0</v>
      </c>
      <c r="O244" s="55">
        <v>0</v>
      </c>
      <c r="P244" s="55">
        <v>0</v>
      </c>
      <c r="Q244" s="55">
        <v>0</v>
      </c>
      <c r="R244" s="55">
        <v>0</v>
      </c>
      <c r="S244" s="55">
        <v>0</v>
      </c>
      <c r="T244" s="55">
        <v>0</v>
      </c>
      <c r="U244" s="55">
        <v>0</v>
      </c>
      <c r="V244" s="55">
        <v>0</v>
      </c>
      <c r="W244" s="55">
        <v>0</v>
      </c>
      <c r="X244" s="55">
        <v>0</v>
      </c>
      <c r="Y244" s="55">
        <v>0</v>
      </c>
      <c r="Z244" s="55">
        <v>0</v>
      </c>
      <c r="AA244" s="55">
        <v>0</v>
      </c>
      <c r="AB244" s="55">
        <v>0</v>
      </c>
      <c r="AC244" s="55">
        <v>0</v>
      </c>
      <c r="AD244" s="55">
        <v>0</v>
      </c>
      <c r="AE244" s="55">
        <v>0</v>
      </c>
    </row>
    <row r="245" spans="1:31" s="54" customFormat="1" x14ac:dyDescent="0.35">
      <c r="A245" s="57">
        <v>242</v>
      </c>
      <c r="B245" s="35"/>
      <c r="C245" s="35"/>
      <c r="D245" s="46" t="s">
        <v>11</v>
      </c>
      <c r="E245" s="46" t="s">
        <v>0</v>
      </c>
      <c r="F245" s="54">
        <f t="shared" ref="F245:K245" si="364">SUM(F246:F248)</f>
        <v>0</v>
      </c>
      <c r="G245" s="54">
        <f t="shared" si="364"/>
        <v>0</v>
      </c>
      <c r="H245" s="54">
        <f t="shared" si="364"/>
        <v>0</v>
      </c>
      <c r="I245" s="54">
        <f t="shared" si="364"/>
        <v>0</v>
      </c>
      <c r="J245" s="54">
        <f t="shared" si="364"/>
        <v>0</v>
      </c>
      <c r="K245" s="54">
        <f t="shared" si="364"/>
        <v>0</v>
      </c>
      <c r="L245" s="54">
        <f t="shared" ref="L245" si="365">SUM(L246:L248)</f>
        <v>0</v>
      </c>
      <c r="M245" s="54">
        <f t="shared" ref="M245" si="366">SUM(M246:M248)</f>
        <v>0</v>
      </c>
      <c r="N245" s="54">
        <f t="shared" ref="N245" si="367">SUM(N246:N248)</f>
        <v>0</v>
      </c>
      <c r="O245" s="54">
        <f t="shared" ref="O245" si="368">SUM(O246:O248)</f>
        <v>0</v>
      </c>
      <c r="P245" s="54">
        <f t="shared" ref="P245" si="369">SUM(P246:P248)</f>
        <v>0</v>
      </c>
      <c r="Q245" s="54">
        <f t="shared" ref="Q245" si="370">SUM(Q246:Q248)</f>
        <v>0</v>
      </c>
      <c r="R245" s="54">
        <f t="shared" ref="R245" si="371">SUM(R246:R248)</f>
        <v>0</v>
      </c>
      <c r="S245" s="54">
        <f t="shared" ref="S245" si="372">SUM(S246:S248)</f>
        <v>0</v>
      </c>
      <c r="T245" s="54">
        <f t="shared" ref="T245" si="373">SUM(T246:T248)</f>
        <v>0</v>
      </c>
      <c r="U245" s="54">
        <f t="shared" ref="U245" si="374">SUM(U246:U248)</f>
        <v>0</v>
      </c>
      <c r="V245" s="54">
        <f t="shared" ref="V245" si="375">SUM(V246:V248)</f>
        <v>0</v>
      </c>
      <c r="W245" s="54">
        <f t="shared" ref="W245" si="376">SUM(W246:W248)</f>
        <v>0</v>
      </c>
      <c r="X245" s="54">
        <f t="shared" ref="X245" si="377">SUM(X246:X248)</f>
        <v>0</v>
      </c>
      <c r="Y245" s="54">
        <f t="shared" ref="Y245" si="378">SUM(Y246:Y248)</f>
        <v>0</v>
      </c>
      <c r="Z245" s="54">
        <f t="shared" ref="Z245" si="379">SUM(Z246:Z248)</f>
        <v>0</v>
      </c>
      <c r="AA245" s="54">
        <f t="shared" ref="AA245" si="380">SUM(AA246:AA248)</f>
        <v>0</v>
      </c>
      <c r="AB245" s="54">
        <f t="shared" ref="AB245:AC245" si="381">SUM(AB246:AB248)</f>
        <v>0</v>
      </c>
      <c r="AC245" s="54">
        <f t="shared" si="381"/>
        <v>0</v>
      </c>
      <c r="AD245" s="54">
        <v>0</v>
      </c>
      <c r="AE245" s="54">
        <v>0</v>
      </c>
    </row>
    <row r="246" spans="1:31" s="55" customFormat="1" x14ac:dyDescent="0.35">
      <c r="A246" s="57">
        <v>243</v>
      </c>
      <c r="B246" s="35"/>
      <c r="C246" s="35"/>
      <c r="D246" s="47" t="s">
        <v>21</v>
      </c>
      <c r="E246" s="47" t="s">
        <v>20</v>
      </c>
      <c r="F246" s="55">
        <v>0</v>
      </c>
      <c r="G246" s="55">
        <v>0</v>
      </c>
      <c r="H246" s="55">
        <v>0</v>
      </c>
      <c r="I246" s="55">
        <v>0</v>
      </c>
      <c r="J246" s="55">
        <v>0</v>
      </c>
      <c r="K246" s="55">
        <v>0</v>
      </c>
      <c r="L246" s="55">
        <v>0</v>
      </c>
      <c r="M246" s="55">
        <v>0</v>
      </c>
      <c r="N246" s="55">
        <v>0</v>
      </c>
      <c r="O246" s="55">
        <v>0</v>
      </c>
      <c r="P246" s="55">
        <v>0</v>
      </c>
      <c r="Q246" s="55">
        <v>0</v>
      </c>
      <c r="R246" s="55">
        <v>0</v>
      </c>
      <c r="S246" s="55">
        <v>0</v>
      </c>
      <c r="T246" s="55">
        <v>0</v>
      </c>
      <c r="U246" s="55">
        <v>0</v>
      </c>
      <c r="V246" s="55">
        <v>0</v>
      </c>
      <c r="W246" s="55">
        <v>0</v>
      </c>
      <c r="X246" s="55">
        <v>0</v>
      </c>
      <c r="Y246" s="55">
        <v>0</v>
      </c>
      <c r="Z246" s="55">
        <v>0</v>
      </c>
      <c r="AA246" s="55">
        <v>0</v>
      </c>
      <c r="AB246" s="55">
        <v>0</v>
      </c>
      <c r="AC246" s="55">
        <v>0</v>
      </c>
      <c r="AD246" s="55">
        <v>0</v>
      </c>
      <c r="AE246" s="55">
        <v>0</v>
      </c>
    </row>
    <row r="247" spans="1:31" s="55" customFormat="1" x14ac:dyDescent="0.35">
      <c r="A247" s="57">
        <v>244</v>
      </c>
      <c r="B247" s="35"/>
      <c r="C247" s="35"/>
      <c r="D247" s="47" t="s">
        <v>12</v>
      </c>
      <c r="E247" s="47" t="s">
        <v>22</v>
      </c>
      <c r="F247" s="55">
        <v>0</v>
      </c>
      <c r="G247" s="55">
        <v>0</v>
      </c>
      <c r="H247" s="55">
        <v>0</v>
      </c>
      <c r="I247" s="55">
        <v>0</v>
      </c>
      <c r="J247" s="55">
        <v>0</v>
      </c>
      <c r="K247" s="55">
        <v>0</v>
      </c>
      <c r="L247" s="55">
        <v>0</v>
      </c>
      <c r="M247" s="55">
        <v>0</v>
      </c>
      <c r="N247" s="55">
        <v>0</v>
      </c>
      <c r="O247" s="55">
        <v>0</v>
      </c>
      <c r="P247" s="55">
        <v>0</v>
      </c>
      <c r="Q247" s="55">
        <v>0</v>
      </c>
      <c r="R247" s="55">
        <v>0</v>
      </c>
      <c r="S247" s="55">
        <v>0</v>
      </c>
      <c r="T247" s="55">
        <v>0</v>
      </c>
      <c r="U247" s="55">
        <v>0</v>
      </c>
      <c r="V247" s="55">
        <v>0</v>
      </c>
      <c r="W247" s="55">
        <v>0</v>
      </c>
      <c r="X247" s="55">
        <v>0</v>
      </c>
      <c r="Y247" s="55">
        <v>0</v>
      </c>
      <c r="Z247" s="55">
        <v>0</v>
      </c>
      <c r="AA247" s="55">
        <v>0</v>
      </c>
      <c r="AB247" s="55">
        <v>0</v>
      </c>
      <c r="AC247" s="55">
        <v>0</v>
      </c>
      <c r="AD247" s="55">
        <v>0</v>
      </c>
      <c r="AE247" s="55">
        <v>0</v>
      </c>
    </row>
    <row r="248" spans="1:31" s="55" customFormat="1" x14ac:dyDescent="0.35">
      <c r="A248" s="57">
        <v>245</v>
      </c>
      <c r="B248" s="35"/>
      <c r="C248" s="35"/>
      <c r="D248" s="47" t="s">
        <v>13</v>
      </c>
      <c r="E248" s="47" t="s">
        <v>23</v>
      </c>
      <c r="F248" s="55">
        <v>0</v>
      </c>
      <c r="G248" s="55">
        <v>0</v>
      </c>
      <c r="H248" s="55">
        <v>0</v>
      </c>
      <c r="I248" s="55">
        <v>0</v>
      </c>
      <c r="J248" s="55">
        <v>0</v>
      </c>
      <c r="K248" s="55">
        <v>0</v>
      </c>
      <c r="L248" s="55">
        <v>0</v>
      </c>
      <c r="M248" s="55">
        <v>0</v>
      </c>
      <c r="N248" s="55">
        <v>0</v>
      </c>
      <c r="O248" s="55">
        <v>0</v>
      </c>
      <c r="P248" s="55">
        <v>0</v>
      </c>
      <c r="Q248" s="55">
        <v>0</v>
      </c>
      <c r="R248" s="55">
        <v>0</v>
      </c>
      <c r="S248" s="55">
        <v>0</v>
      </c>
      <c r="T248" s="55">
        <v>0</v>
      </c>
      <c r="U248" s="55">
        <v>0</v>
      </c>
      <c r="V248" s="55">
        <v>0</v>
      </c>
      <c r="W248" s="55">
        <v>0</v>
      </c>
      <c r="X248" s="55">
        <v>0</v>
      </c>
      <c r="Y248" s="55">
        <v>0</v>
      </c>
      <c r="Z248" s="55">
        <v>0</v>
      </c>
      <c r="AA248" s="55">
        <v>0</v>
      </c>
      <c r="AB248" s="55">
        <v>0</v>
      </c>
      <c r="AC248" s="55">
        <v>0</v>
      </c>
      <c r="AD248" s="55">
        <v>0</v>
      </c>
      <c r="AE248" s="55">
        <v>0</v>
      </c>
    </row>
    <row r="249" spans="1:31" s="53" customFormat="1" x14ac:dyDescent="0.35">
      <c r="A249" s="57">
        <v>246</v>
      </c>
      <c r="B249" s="35"/>
      <c r="C249" s="35"/>
      <c r="D249" s="46" t="s">
        <v>1</v>
      </c>
      <c r="E249" s="46" t="s">
        <v>24</v>
      </c>
    </row>
    <row r="250" spans="1:31" s="54" customFormat="1" x14ac:dyDescent="0.35">
      <c r="A250" s="57">
        <v>247</v>
      </c>
      <c r="B250" s="35"/>
      <c r="C250" s="35"/>
      <c r="D250" s="46" t="s">
        <v>25</v>
      </c>
      <c r="E250" s="46" t="s">
        <v>26</v>
      </c>
      <c r="F250" s="54">
        <v>0</v>
      </c>
      <c r="G250" s="54">
        <v>0</v>
      </c>
      <c r="H250" s="54">
        <v>0</v>
      </c>
      <c r="I250" s="54">
        <v>0</v>
      </c>
      <c r="J250" s="54">
        <v>0</v>
      </c>
      <c r="K250" s="54">
        <v>0</v>
      </c>
      <c r="L250" s="54">
        <v>0</v>
      </c>
      <c r="M250" s="54">
        <v>0</v>
      </c>
      <c r="N250" s="54">
        <v>0</v>
      </c>
      <c r="O250" s="54">
        <v>0</v>
      </c>
      <c r="P250" s="54">
        <v>0</v>
      </c>
      <c r="Q250" s="54">
        <v>0</v>
      </c>
      <c r="R250" s="54">
        <v>0</v>
      </c>
      <c r="S250" s="54">
        <v>0</v>
      </c>
      <c r="T250" s="54">
        <v>0</v>
      </c>
      <c r="U250" s="54">
        <v>0</v>
      </c>
      <c r="V250" s="54">
        <v>0</v>
      </c>
      <c r="W250" s="54">
        <v>0</v>
      </c>
      <c r="X250" s="54">
        <v>0</v>
      </c>
      <c r="Y250" s="54">
        <v>0</v>
      </c>
      <c r="Z250" s="54">
        <v>0</v>
      </c>
      <c r="AA250" s="54">
        <v>0</v>
      </c>
      <c r="AB250" s="54">
        <v>0</v>
      </c>
      <c r="AC250" s="54">
        <v>0</v>
      </c>
      <c r="AD250" s="54">
        <v>0</v>
      </c>
      <c r="AE250" s="54">
        <v>0</v>
      </c>
    </row>
    <row r="251" spans="1:31" s="52" customFormat="1" ht="15.5" x14ac:dyDescent="0.35">
      <c r="A251" s="57">
        <v>248</v>
      </c>
      <c r="B251" s="35"/>
      <c r="C251" s="35"/>
      <c r="D251" s="45" t="s">
        <v>15</v>
      </c>
      <c r="E251" s="45" t="s">
        <v>17</v>
      </c>
      <c r="F251" s="52">
        <v>0</v>
      </c>
      <c r="G251" s="52">
        <v>0</v>
      </c>
      <c r="H251" s="52">
        <v>0</v>
      </c>
      <c r="I251" s="52">
        <v>0</v>
      </c>
      <c r="J251" s="52">
        <v>0</v>
      </c>
      <c r="K251" s="52">
        <v>0</v>
      </c>
      <c r="L251" s="52">
        <v>0</v>
      </c>
      <c r="M251" s="52">
        <v>0</v>
      </c>
      <c r="N251" s="52">
        <v>0</v>
      </c>
      <c r="O251" s="52">
        <v>0</v>
      </c>
      <c r="P251" s="52">
        <v>0</v>
      </c>
      <c r="Q251" s="52">
        <v>0</v>
      </c>
      <c r="R251" s="52">
        <v>0</v>
      </c>
      <c r="S251" s="52">
        <v>0</v>
      </c>
      <c r="T251" s="52">
        <v>0</v>
      </c>
      <c r="U251" s="52">
        <v>0</v>
      </c>
      <c r="V251" s="52">
        <v>0</v>
      </c>
      <c r="W251" s="52">
        <v>0</v>
      </c>
      <c r="X251" s="52">
        <v>0</v>
      </c>
      <c r="Y251" s="52">
        <v>0</v>
      </c>
      <c r="Z251" s="52">
        <v>0</v>
      </c>
      <c r="AA251" s="52">
        <v>0</v>
      </c>
      <c r="AB251" s="52">
        <v>0</v>
      </c>
      <c r="AC251" s="52">
        <v>0</v>
      </c>
      <c r="AD251" s="52">
        <v>0</v>
      </c>
      <c r="AE251" s="52">
        <v>0</v>
      </c>
    </row>
    <row r="252" spans="1:31" s="51" customFormat="1" ht="17.25" customHeight="1" x14ac:dyDescent="0.35">
      <c r="A252" s="57">
        <v>249</v>
      </c>
      <c r="B252" s="35"/>
      <c r="C252" s="35"/>
      <c r="D252" s="49"/>
      <c r="E252" s="49"/>
      <c r="F252" s="51">
        <v>0</v>
      </c>
      <c r="G252" s="51">
        <v>0</v>
      </c>
      <c r="H252" s="51">
        <v>0</v>
      </c>
      <c r="I252" s="51">
        <v>0</v>
      </c>
      <c r="J252" s="51">
        <v>0</v>
      </c>
      <c r="K252" s="51">
        <v>0</v>
      </c>
      <c r="L252" s="51">
        <v>0</v>
      </c>
      <c r="M252" s="51">
        <v>0</v>
      </c>
      <c r="N252" s="51">
        <v>0</v>
      </c>
      <c r="O252" s="51">
        <v>0</v>
      </c>
      <c r="P252" s="51">
        <v>0</v>
      </c>
      <c r="Q252" s="51">
        <v>0</v>
      </c>
      <c r="R252" s="51">
        <v>0</v>
      </c>
      <c r="S252" s="51">
        <v>0</v>
      </c>
      <c r="T252" s="51">
        <v>0</v>
      </c>
      <c r="U252" s="51">
        <v>0</v>
      </c>
      <c r="V252" s="51">
        <v>0</v>
      </c>
      <c r="W252" s="51">
        <v>0</v>
      </c>
      <c r="X252" s="51">
        <v>0</v>
      </c>
      <c r="Y252" s="51">
        <v>0</v>
      </c>
      <c r="Z252" s="51">
        <v>0</v>
      </c>
      <c r="AA252" s="51">
        <v>0</v>
      </c>
      <c r="AB252" s="51">
        <v>0</v>
      </c>
      <c r="AC252" s="51">
        <v>0</v>
      </c>
      <c r="AD252" s="51">
        <v>0</v>
      </c>
      <c r="AE252" s="51">
        <v>0</v>
      </c>
    </row>
    <row r="253" spans="1:31" s="56" customFormat="1" ht="26.15" customHeight="1" x14ac:dyDescent="0.45">
      <c r="A253" s="57">
        <v>250</v>
      </c>
      <c r="B253" s="42"/>
      <c r="C253" s="44" t="s">
        <v>2</v>
      </c>
      <c r="D253" s="44"/>
      <c r="E253" s="35"/>
    </row>
    <row r="254" spans="1:31" s="52" customFormat="1" ht="18" customHeight="1" x14ac:dyDescent="0.35">
      <c r="A254" s="57">
        <v>251</v>
      </c>
      <c r="B254" s="35"/>
      <c r="C254" s="35"/>
      <c r="D254" s="45" t="s">
        <v>9</v>
      </c>
      <c r="E254" s="45" t="s">
        <v>30</v>
      </c>
      <c r="F254" s="52">
        <f t="shared" ref="F254:K254" si="382">F255+F256+F260+F261</f>
        <v>5101.2</v>
      </c>
      <c r="G254" s="52">
        <f t="shared" si="382"/>
        <v>18395</v>
      </c>
      <c r="H254" s="52">
        <f t="shared" si="382"/>
        <v>17873</v>
      </c>
      <c r="I254" s="52">
        <f t="shared" si="382"/>
        <v>16990.599999999999</v>
      </c>
      <c r="J254" s="52">
        <f t="shared" si="382"/>
        <v>16533</v>
      </c>
      <c r="K254" s="52">
        <f t="shared" si="382"/>
        <v>16730.525000000001</v>
      </c>
      <c r="L254" s="52">
        <f t="shared" ref="L254" si="383">L255+L256+L260+L261</f>
        <v>16928.05</v>
      </c>
      <c r="M254" s="52">
        <f t="shared" ref="M254" si="384">M255+M256+M260+M261</f>
        <v>17125.574999999997</v>
      </c>
      <c r="N254" s="52">
        <f t="shared" ref="N254" si="385">N255+N256+N260+N261</f>
        <v>17323.099999999999</v>
      </c>
      <c r="O254" s="52">
        <f t="shared" ref="O254" si="386">O255+O256+O260+O261</f>
        <v>17725.2</v>
      </c>
      <c r="P254" s="52">
        <f t="shared" ref="P254" si="387">P255+P256+P260+P261</f>
        <v>18127.300000000003</v>
      </c>
      <c r="Q254" s="52">
        <f t="shared" ref="Q254" si="388">Q255+Q256+Q260+Q261</f>
        <v>18529.400000000001</v>
      </c>
      <c r="R254" s="52">
        <f t="shared" ref="R254" si="389">R255+R256+R260+R261</f>
        <v>18931.500000000004</v>
      </c>
      <c r="S254" s="52">
        <f t="shared" ref="S254" si="390">S255+S256+S260+S261</f>
        <v>20132.41084727284</v>
      </c>
      <c r="T254" s="52">
        <f t="shared" ref="T254" si="391">T255+T256+T260+T261</f>
        <v>21333.321694545681</v>
      </c>
      <c r="U254" s="52">
        <f t="shared" ref="U254" si="392">U255+U256+U260+U261</f>
        <v>22534.232541818517</v>
      </c>
      <c r="V254" s="52">
        <f t="shared" ref="V254" si="393">V255+V256+V260+V261</f>
        <v>23735.143389091354</v>
      </c>
      <c r="W254" s="52">
        <f t="shared" ref="W254" si="394">W255+W256+W260+W261</f>
        <v>23297.582541818516</v>
      </c>
      <c r="X254" s="52">
        <f t="shared" ref="X254" si="395">X255+X256+X260+X261</f>
        <v>22863.521694545678</v>
      </c>
      <c r="Y254" s="52">
        <f t="shared" ref="Y254" si="396">Y255+Y256+Y260+Y261</f>
        <v>22422.460847272836</v>
      </c>
      <c r="Z254" s="52">
        <f t="shared" ref="Z254" si="397">Z255+Z256+Z260+Z261</f>
        <v>21988.9931</v>
      </c>
      <c r="AA254" s="52">
        <f t="shared" ref="AA254" si="398">AA255+AA256+AA260+AA261</f>
        <v>21547.837986454368</v>
      </c>
      <c r="AB254" s="52">
        <f t="shared" ref="AB254:AC254" si="399">AB255+AB256+AB260+AB261</f>
        <v>21109.801605543471</v>
      </c>
      <c r="AC254" s="52">
        <f t="shared" si="399"/>
        <v>20659.466127742518</v>
      </c>
      <c r="AD254" s="52">
        <v>20214.474497308023</v>
      </c>
      <c r="AE254" s="52">
        <v>19790.878876207396</v>
      </c>
    </row>
    <row r="255" spans="1:31" s="54" customFormat="1" x14ac:dyDescent="0.35">
      <c r="A255" s="57">
        <v>252</v>
      </c>
      <c r="B255" s="35"/>
      <c r="C255" s="35"/>
      <c r="D255" s="46" t="s">
        <v>10</v>
      </c>
      <c r="E255" s="46" t="s">
        <v>18</v>
      </c>
      <c r="F255" s="54">
        <v>1851.0942940935001</v>
      </c>
      <c r="G255" s="54">
        <v>2264.5276303599985</v>
      </c>
      <c r="H255" s="54">
        <v>2364.4483539999992</v>
      </c>
      <c r="I255" s="54">
        <v>2666.2783920000011</v>
      </c>
      <c r="J255" s="54">
        <v>2813.3896670000013</v>
      </c>
      <c r="K255" s="54">
        <v>3044.3298150000019</v>
      </c>
      <c r="L255" s="54">
        <v>3147.2652800000005</v>
      </c>
      <c r="M255" s="54">
        <v>3268.0369549999987</v>
      </c>
      <c r="N255" s="54">
        <v>3336.4216999999994</v>
      </c>
      <c r="O255" s="54">
        <v>3429.454383000003</v>
      </c>
      <c r="P255" s="54">
        <v>3287.3871918964869</v>
      </c>
      <c r="Q255" s="54">
        <v>3263.377746750939</v>
      </c>
      <c r="R255" s="54">
        <v>3437.1811100000045</v>
      </c>
      <c r="S255" s="54">
        <v>4379.309583670859</v>
      </c>
      <c r="T255" s="54">
        <v>5577.644181545681</v>
      </c>
      <c r="U255" s="54">
        <v>6435.3756228085194</v>
      </c>
      <c r="V255" s="54">
        <v>7543.8264760914572</v>
      </c>
      <c r="W255" s="54">
        <v>6890.0241198185186</v>
      </c>
      <c r="X255" s="54">
        <v>6468.6841355956785</v>
      </c>
      <c r="Y255" s="54">
        <v>6001.9592383428344</v>
      </c>
      <c r="Z255" s="54">
        <v>5652.6341847000003</v>
      </c>
      <c r="AA255" s="54">
        <v>5287.3327586243677</v>
      </c>
      <c r="AB255" s="54">
        <v>4917.9060326734743</v>
      </c>
      <c r="AC255" s="54">
        <v>4391.8111832125196</v>
      </c>
      <c r="AD255" s="54">
        <v>3968.1617280180262</v>
      </c>
      <c r="AE255" s="54">
        <v>3381.427083727398</v>
      </c>
    </row>
    <row r="256" spans="1:31" s="54" customFormat="1" x14ac:dyDescent="0.35">
      <c r="A256" s="57">
        <v>253</v>
      </c>
      <c r="B256" s="35"/>
      <c r="C256" s="35"/>
      <c r="D256" s="46" t="s">
        <v>11</v>
      </c>
      <c r="E256" s="46" t="s">
        <v>0</v>
      </c>
      <c r="F256" s="54">
        <f t="shared" ref="F256:K256" si="400">SUM(F257:F259)</f>
        <v>3250.1057059064997</v>
      </c>
      <c r="G256" s="54">
        <f t="shared" si="400"/>
        <v>16130.47236964</v>
      </c>
      <c r="H256" s="54">
        <f t="shared" si="400"/>
        <v>15508.551646</v>
      </c>
      <c r="I256" s="54">
        <f t="shared" si="400"/>
        <v>14324.321607999998</v>
      </c>
      <c r="J256" s="54">
        <f t="shared" si="400"/>
        <v>13719.610332999999</v>
      </c>
      <c r="K256" s="54">
        <f t="shared" si="400"/>
        <v>13686.195185</v>
      </c>
      <c r="L256" s="54">
        <f t="shared" ref="L256" si="401">SUM(L257:L259)</f>
        <v>13780.78472</v>
      </c>
      <c r="M256" s="54">
        <f t="shared" ref="M256" si="402">SUM(M257:M259)</f>
        <v>13857.538044999999</v>
      </c>
      <c r="N256" s="54">
        <f t="shared" ref="N256" si="403">SUM(N257:N259)</f>
        <v>13986.6783</v>
      </c>
      <c r="O256" s="54">
        <f t="shared" ref="O256" si="404">SUM(O257:O259)</f>
        <v>14295.745616999999</v>
      </c>
      <c r="P256" s="54">
        <f t="shared" ref="P256" si="405">SUM(P257:P259)</f>
        <v>14839.912808103516</v>
      </c>
      <c r="Q256" s="54">
        <f t="shared" ref="Q256" si="406">SUM(Q257:Q259)</f>
        <v>15266.022253249062</v>
      </c>
      <c r="R256" s="54">
        <f t="shared" ref="R256" si="407">SUM(R257:R259)</f>
        <v>15494.318889999999</v>
      </c>
      <c r="S256" s="54">
        <f t="shared" ref="S256" si="408">SUM(S257:S259)</f>
        <v>15753.10126360198</v>
      </c>
      <c r="T256" s="54">
        <f t="shared" ref="T256" si="409">SUM(T257:T259)</f>
        <v>15755.677513000001</v>
      </c>
      <c r="U256" s="54">
        <f t="shared" ref="U256" si="410">SUM(U257:U259)</f>
        <v>16098.856919009999</v>
      </c>
      <c r="V256" s="54">
        <f t="shared" ref="V256" si="411">SUM(V257:V259)</f>
        <v>16191.316912999899</v>
      </c>
      <c r="W256" s="54">
        <f t="shared" ref="W256" si="412">SUM(W257:W259)</f>
        <v>16407.558421999998</v>
      </c>
      <c r="X256" s="54">
        <f t="shared" ref="X256" si="413">SUM(X257:X259)</f>
        <v>16394.837558949999</v>
      </c>
      <c r="Y256" s="54">
        <f t="shared" ref="Y256" si="414">SUM(Y257:Y259)</f>
        <v>16420.501608930001</v>
      </c>
      <c r="Z256" s="54">
        <f t="shared" ref="Z256" si="415">SUM(Z257:Z259)</f>
        <v>16336.358915299998</v>
      </c>
      <c r="AA256" s="54">
        <f t="shared" ref="AA256" si="416">SUM(AA257:AA259)</f>
        <v>16260.505227830001</v>
      </c>
      <c r="AB256" s="54">
        <f t="shared" ref="AB256:AC256" si="417">SUM(AB257:AB259)</f>
        <v>16191.895572869998</v>
      </c>
      <c r="AC256" s="54">
        <f t="shared" si="417"/>
        <v>16267.654944529999</v>
      </c>
      <c r="AD256" s="54">
        <v>16246.312769289998</v>
      </c>
      <c r="AE256" s="54">
        <v>16409.451792479998</v>
      </c>
    </row>
    <row r="257" spans="1:31" s="55" customFormat="1" x14ac:dyDescent="0.35">
      <c r="A257" s="57">
        <v>254</v>
      </c>
      <c r="B257" s="35"/>
      <c r="C257" s="35"/>
      <c r="D257" s="47" t="s">
        <v>21</v>
      </c>
      <c r="E257" s="47" t="s">
        <v>20</v>
      </c>
      <c r="F257" s="55">
        <v>3250.1057059064997</v>
      </c>
      <c r="G257" s="55">
        <v>16130.47236964</v>
      </c>
      <c r="H257" s="55">
        <v>15508.551646</v>
      </c>
      <c r="I257" s="55">
        <v>14324.321607999998</v>
      </c>
      <c r="J257" s="55">
        <v>13719.610332999999</v>
      </c>
      <c r="K257" s="55">
        <v>13686.195185</v>
      </c>
      <c r="L257" s="55">
        <v>13780.78472</v>
      </c>
      <c r="M257" s="55">
        <v>13857.538044999999</v>
      </c>
      <c r="N257" s="55">
        <v>13986.6783</v>
      </c>
      <c r="O257" s="55">
        <v>14295.745616999999</v>
      </c>
      <c r="P257" s="55">
        <v>14839.912808103516</v>
      </c>
      <c r="Q257" s="55">
        <v>15266.022253249062</v>
      </c>
      <c r="R257" s="55">
        <v>15494.318889999999</v>
      </c>
      <c r="S257" s="55">
        <v>15753.10126360198</v>
      </c>
      <c r="T257" s="55">
        <v>15755.677513000001</v>
      </c>
      <c r="U257" s="55">
        <v>16098.856919009999</v>
      </c>
      <c r="V257" s="55">
        <v>16191.316912999899</v>
      </c>
      <c r="W257" s="55">
        <v>16407.558421999998</v>
      </c>
      <c r="X257" s="55">
        <v>16391.337558949999</v>
      </c>
      <c r="Y257" s="55">
        <v>16420.501608930001</v>
      </c>
      <c r="Z257" s="55">
        <v>16332.265815299997</v>
      </c>
      <c r="AA257" s="55">
        <v>16260.505227830001</v>
      </c>
      <c r="AB257" s="55">
        <v>16191.895572869998</v>
      </c>
      <c r="AC257" s="55">
        <v>16267.654944529999</v>
      </c>
      <c r="AD257" s="55">
        <v>16246.312769289998</v>
      </c>
      <c r="AE257" s="55">
        <v>16409.451792479998</v>
      </c>
    </row>
    <row r="258" spans="1:31" s="55" customFormat="1" x14ac:dyDescent="0.35">
      <c r="A258" s="57">
        <v>255</v>
      </c>
      <c r="B258" s="35"/>
      <c r="C258" s="35"/>
      <c r="D258" s="47" t="s">
        <v>12</v>
      </c>
      <c r="E258" s="47" t="s">
        <v>22</v>
      </c>
      <c r="F258" s="55">
        <v>0</v>
      </c>
      <c r="G258" s="55">
        <v>0</v>
      </c>
      <c r="H258" s="55">
        <v>0</v>
      </c>
      <c r="I258" s="55">
        <v>0</v>
      </c>
      <c r="J258" s="55">
        <v>0</v>
      </c>
      <c r="K258" s="55">
        <v>0</v>
      </c>
      <c r="L258" s="55">
        <v>0</v>
      </c>
      <c r="M258" s="55">
        <v>0</v>
      </c>
      <c r="N258" s="55">
        <v>0</v>
      </c>
      <c r="O258" s="55">
        <v>0</v>
      </c>
      <c r="P258" s="55">
        <v>0</v>
      </c>
      <c r="Q258" s="55">
        <v>0</v>
      </c>
      <c r="R258" s="55">
        <v>0</v>
      </c>
      <c r="S258" s="55">
        <v>0</v>
      </c>
      <c r="T258" s="55">
        <v>0</v>
      </c>
      <c r="U258" s="55">
        <v>0</v>
      </c>
      <c r="V258" s="55">
        <v>0</v>
      </c>
      <c r="W258" s="55">
        <v>0</v>
      </c>
      <c r="X258" s="55">
        <v>3.5</v>
      </c>
      <c r="Y258" s="55">
        <v>0</v>
      </c>
      <c r="Z258" s="55">
        <v>4.0930999999999997</v>
      </c>
      <c r="AA258" s="55">
        <v>0</v>
      </c>
      <c r="AB258" s="55">
        <v>0</v>
      </c>
      <c r="AC258" s="55">
        <v>0</v>
      </c>
      <c r="AD258" s="55">
        <v>0</v>
      </c>
      <c r="AE258" s="55">
        <v>0</v>
      </c>
    </row>
    <row r="259" spans="1:31" s="55" customFormat="1" x14ac:dyDescent="0.35">
      <c r="A259" s="57">
        <v>256</v>
      </c>
      <c r="B259" s="35"/>
      <c r="C259" s="35"/>
      <c r="D259" s="47" t="s">
        <v>13</v>
      </c>
      <c r="E259" s="47" t="s">
        <v>23</v>
      </c>
      <c r="F259" s="55">
        <v>0</v>
      </c>
      <c r="G259" s="55">
        <v>0</v>
      </c>
      <c r="H259" s="55">
        <v>0</v>
      </c>
      <c r="I259" s="55">
        <v>0</v>
      </c>
      <c r="J259" s="55">
        <v>0</v>
      </c>
      <c r="K259" s="55">
        <v>0</v>
      </c>
      <c r="L259" s="55">
        <v>0</v>
      </c>
      <c r="M259" s="55">
        <v>0</v>
      </c>
      <c r="N259" s="55">
        <v>0</v>
      </c>
      <c r="O259" s="55">
        <v>0</v>
      </c>
      <c r="P259" s="55">
        <v>0</v>
      </c>
      <c r="Q259" s="55">
        <v>0</v>
      </c>
      <c r="R259" s="55">
        <v>0</v>
      </c>
      <c r="S259" s="55">
        <v>0</v>
      </c>
      <c r="T259" s="55">
        <v>0</v>
      </c>
      <c r="U259" s="55">
        <v>0</v>
      </c>
      <c r="V259" s="55">
        <v>0</v>
      </c>
      <c r="W259" s="55">
        <v>0</v>
      </c>
      <c r="X259" s="55">
        <v>0</v>
      </c>
      <c r="Y259" s="55">
        <v>0</v>
      </c>
      <c r="Z259" s="55">
        <v>0</v>
      </c>
      <c r="AA259" s="55">
        <v>0</v>
      </c>
      <c r="AB259" s="55">
        <v>0</v>
      </c>
      <c r="AC259" s="55">
        <v>0</v>
      </c>
      <c r="AD259" s="55">
        <v>0</v>
      </c>
      <c r="AE259" s="55">
        <v>0</v>
      </c>
    </row>
    <row r="260" spans="1:31" s="53" customFormat="1" x14ac:dyDescent="0.35">
      <c r="A260" s="57">
        <v>257</v>
      </c>
      <c r="B260" s="35"/>
      <c r="C260" s="35"/>
      <c r="D260" s="46" t="s">
        <v>1</v>
      </c>
      <c r="E260" s="46" t="s">
        <v>24</v>
      </c>
    </row>
    <row r="261" spans="1:31" s="54" customFormat="1" x14ac:dyDescent="0.35">
      <c r="A261" s="57">
        <v>258</v>
      </c>
      <c r="B261" s="35"/>
      <c r="C261" s="35"/>
      <c r="D261" s="46" t="s">
        <v>25</v>
      </c>
      <c r="E261" s="46" t="s">
        <v>26</v>
      </c>
      <c r="F261" s="54">
        <v>0</v>
      </c>
      <c r="G261" s="54">
        <v>0</v>
      </c>
      <c r="H261" s="54">
        <v>0</v>
      </c>
      <c r="I261" s="54">
        <v>0</v>
      </c>
      <c r="J261" s="54">
        <v>0</v>
      </c>
      <c r="K261" s="54">
        <v>0</v>
      </c>
      <c r="L261" s="54">
        <v>0</v>
      </c>
      <c r="M261" s="54">
        <v>0</v>
      </c>
      <c r="N261" s="54">
        <v>0</v>
      </c>
      <c r="O261" s="54">
        <v>0</v>
      </c>
      <c r="P261" s="54">
        <v>0</v>
      </c>
      <c r="Q261" s="54">
        <v>0</v>
      </c>
      <c r="R261" s="54">
        <v>0</v>
      </c>
      <c r="S261" s="54">
        <v>0</v>
      </c>
      <c r="T261" s="54">
        <v>0</v>
      </c>
      <c r="U261" s="54">
        <v>0</v>
      </c>
      <c r="V261" s="54">
        <v>0</v>
      </c>
      <c r="W261" s="54">
        <v>0</v>
      </c>
      <c r="X261" s="54">
        <v>0</v>
      </c>
      <c r="Y261" s="54">
        <v>0</v>
      </c>
      <c r="Z261" s="54">
        <v>0</v>
      </c>
      <c r="AA261" s="54">
        <v>0</v>
      </c>
      <c r="AB261" s="54">
        <v>0</v>
      </c>
      <c r="AC261" s="54">
        <v>0</v>
      </c>
      <c r="AD261" s="54">
        <v>0</v>
      </c>
      <c r="AE261" s="54">
        <v>0</v>
      </c>
    </row>
    <row r="262" spans="1:31" s="52" customFormat="1" ht="15.5" x14ac:dyDescent="0.35">
      <c r="A262" s="57">
        <v>259</v>
      </c>
      <c r="B262" s="35"/>
      <c r="C262" s="35"/>
      <c r="D262" s="45" t="s">
        <v>15</v>
      </c>
      <c r="E262" s="45" t="s">
        <v>17</v>
      </c>
      <c r="F262" s="52">
        <v>0</v>
      </c>
      <c r="G262" s="52">
        <v>0</v>
      </c>
      <c r="H262" s="52">
        <v>0</v>
      </c>
      <c r="I262" s="52">
        <v>0</v>
      </c>
      <c r="J262" s="52">
        <v>0</v>
      </c>
      <c r="K262" s="52">
        <v>0</v>
      </c>
      <c r="L262" s="52">
        <v>0</v>
      </c>
      <c r="M262" s="52">
        <v>0</v>
      </c>
      <c r="N262" s="52">
        <v>0</v>
      </c>
      <c r="O262" s="52">
        <v>0</v>
      </c>
      <c r="P262" s="52">
        <v>0</v>
      </c>
      <c r="Q262" s="52">
        <v>0</v>
      </c>
      <c r="R262" s="52">
        <v>0</v>
      </c>
      <c r="S262" s="52">
        <v>0</v>
      </c>
      <c r="T262" s="52">
        <v>0</v>
      </c>
      <c r="U262" s="52">
        <v>0</v>
      </c>
      <c r="V262" s="52">
        <v>0</v>
      </c>
      <c r="W262" s="52">
        <v>0</v>
      </c>
      <c r="X262" s="52">
        <v>0</v>
      </c>
      <c r="Y262" s="52">
        <v>0</v>
      </c>
      <c r="Z262" s="52">
        <v>0</v>
      </c>
      <c r="AA262" s="52">
        <v>0</v>
      </c>
      <c r="AB262" s="52">
        <v>0</v>
      </c>
      <c r="AC262" s="52">
        <v>0</v>
      </c>
      <c r="AD262" s="52">
        <v>0</v>
      </c>
      <c r="AE262" s="52">
        <v>0</v>
      </c>
    </row>
    <row r="263" spans="1:31" s="51" customFormat="1" ht="9" customHeight="1" x14ac:dyDescent="0.35">
      <c r="A263" s="57">
        <v>260</v>
      </c>
      <c r="B263" s="35"/>
      <c r="C263" s="35"/>
      <c r="D263" s="49"/>
      <c r="E263" s="49"/>
      <c r="F263" s="51">
        <v>0</v>
      </c>
      <c r="G263" s="51">
        <v>0</v>
      </c>
      <c r="H263" s="51">
        <v>0</v>
      </c>
      <c r="I263" s="51">
        <v>0</v>
      </c>
      <c r="J263" s="51">
        <v>0</v>
      </c>
      <c r="K263" s="51">
        <v>0</v>
      </c>
      <c r="L263" s="51">
        <v>0</v>
      </c>
      <c r="M263" s="51">
        <v>0</v>
      </c>
      <c r="N263" s="51">
        <v>0</v>
      </c>
      <c r="O263" s="51">
        <v>0</v>
      </c>
      <c r="P263" s="51">
        <v>0</v>
      </c>
      <c r="Q263" s="51">
        <v>0</v>
      </c>
      <c r="R263" s="51">
        <v>0</v>
      </c>
      <c r="S263" s="51">
        <v>0</v>
      </c>
      <c r="T263" s="51">
        <v>0</v>
      </c>
      <c r="U263" s="51">
        <v>0</v>
      </c>
      <c r="V263" s="51">
        <v>0</v>
      </c>
      <c r="W263" s="51">
        <v>0</v>
      </c>
      <c r="X263" s="51">
        <v>0</v>
      </c>
      <c r="Y263" s="51">
        <v>0</v>
      </c>
      <c r="Z263" s="51">
        <v>0</v>
      </c>
      <c r="AA263" s="51">
        <v>0</v>
      </c>
      <c r="AB263" s="51">
        <v>0</v>
      </c>
      <c r="AC263" s="51">
        <v>0</v>
      </c>
      <c r="AD263" s="51">
        <v>0</v>
      </c>
      <c r="AE263" s="51">
        <v>0</v>
      </c>
    </row>
    <row r="264" spans="1:31" s="56" customFormat="1" ht="26.15" customHeight="1" x14ac:dyDescent="0.45">
      <c r="A264" s="57">
        <v>261</v>
      </c>
      <c r="B264" s="42"/>
      <c r="C264" s="44" t="s">
        <v>19</v>
      </c>
      <c r="D264" s="44"/>
      <c r="E264" s="35"/>
    </row>
    <row r="265" spans="1:31" s="52" customFormat="1" ht="18" customHeight="1" x14ac:dyDescent="0.35">
      <c r="A265" s="57">
        <v>262</v>
      </c>
      <c r="B265" s="35"/>
      <c r="C265" s="35"/>
      <c r="D265" s="45" t="s">
        <v>9</v>
      </c>
      <c r="E265" s="45" t="s">
        <v>30</v>
      </c>
      <c r="F265" s="52">
        <f t="shared" ref="F265:K265" si="418">F266+F267+F271+F272</f>
        <v>45052.694795527408</v>
      </c>
      <c r="G265" s="52">
        <f t="shared" si="418"/>
        <v>44530.413015822494</v>
      </c>
      <c r="H265" s="52">
        <f t="shared" si="418"/>
        <v>38417.316099999996</v>
      </c>
      <c r="I265" s="52">
        <f t="shared" si="418"/>
        <v>39825.969147249998</v>
      </c>
      <c r="J265" s="52">
        <f t="shared" si="418"/>
        <v>35185.109011679997</v>
      </c>
      <c r="K265" s="52">
        <f t="shared" si="418"/>
        <v>35789.371340869999</v>
      </c>
      <c r="L265" s="52">
        <f t="shared" ref="L265" si="419">L266+L267+L271+L272</f>
        <v>31975.489589519995</v>
      </c>
      <c r="M265" s="52">
        <f t="shared" ref="M265" si="420">M266+M267+M271+M272</f>
        <v>30221.834890040001</v>
      </c>
      <c r="N265" s="52">
        <f t="shared" ref="N265" si="421">N266+N267+N271+N272</f>
        <v>29534.042694989999</v>
      </c>
      <c r="O265" s="52">
        <f t="shared" ref="O265" si="422">O266+O267+O271+O272</f>
        <v>31886.978063770002</v>
      </c>
      <c r="P265" s="52">
        <f t="shared" ref="P265" si="423">P266+P267+P271+P272</f>
        <v>32282.804119160002</v>
      </c>
      <c r="Q265" s="52">
        <f t="shared" ref="Q265" si="424">Q266+Q267+Q271+Q272</f>
        <v>31319.817112229997</v>
      </c>
      <c r="R265" s="52">
        <f t="shared" ref="R265" si="425">R266+R267+R271+R272</f>
        <v>31366.369031940001</v>
      </c>
      <c r="S265" s="52">
        <f t="shared" ref="S265" si="426">S266+S267+S271+S272</f>
        <v>34176.695737399998</v>
      </c>
      <c r="T265" s="52">
        <f t="shared" ref="T265" si="427">T266+T267+T271+T272</f>
        <v>36942.847177119998</v>
      </c>
      <c r="U265" s="52">
        <f t="shared" ref="U265" si="428">U266+U267+U271+U272</f>
        <v>38441.314511239994</v>
      </c>
      <c r="V265" s="52">
        <f t="shared" ref="V265" si="429">V266+V267+V271+V272</f>
        <v>39337.11921081</v>
      </c>
      <c r="W265" s="52">
        <f t="shared" ref="W265" si="430">W266+W267+W271+W272</f>
        <v>39271.935350159998</v>
      </c>
      <c r="X265" s="52">
        <f t="shared" ref="X265" si="431">X266+X267+X271+X272</f>
        <v>40923.913602839995</v>
      </c>
      <c r="Y265" s="52">
        <f t="shared" ref="Y265" si="432">Y266+Y267+Y271+Y272</f>
        <v>43035.621409299994</v>
      </c>
      <c r="Z265" s="52">
        <f t="shared" ref="Z265" si="433">Z266+Z267+Z271+Z272</f>
        <v>44439.497581849995</v>
      </c>
      <c r="AA265" s="52">
        <f t="shared" ref="AA265" si="434">AA266+AA267+AA271+AA272</f>
        <v>47850.114155500691</v>
      </c>
      <c r="AB265" s="52">
        <f t="shared" ref="AB265:AC265" si="435">AB266+AB267+AB271+AB272</f>
        <v>52169.185439169923</v>
      </c>
      <c r="AC265" s="52">
        <f t="shared" si="435"/>
        <v>55068.035326711892</v>
      </c>
      <c r="AD265" s="52">
        <v>60781.197005604088</v>
      </c>
      <c r="AE265" s="52">
        <v>63321.292699381891</v>
      </c>
    </row>
    <row r="266" spans="1:31" s="55" customFormat="1" x14ac:dyDescent="0.35">
      <c r="A266" s="57">
        <v>263</v>
      </c>
      <c r="B266" s="35"/>
      <c r="C266" s="35"/>
      <c r="D266" s="46" t="s">
        <v>10</v>
      </c>
      <c r="E266" s="46" t="s">
        <v>18</v>
      </c>
      <c r="F266" s="55">
        <v>34763.300000000003</v>
      </c>
      <c r="G266" s="55">
        <v>35544.5</v>
      </c>
      <c r="H266" s="55">
        <v>34412.6</v>
      </c>
      <c r="I266" s="55">
        <v>35814.400000000001</v>
      </c>
      <c r="J266" s="55">
        <v>30546.1</v>
      </c>
      <c r="K266" s="55">
        <v>28921.024999999998</v>
      </c>
      <c r="L266" s="55">
        <v>27295.949999999997</v>
      </c>
      <c r="M266" s="55">
        <v>25670.875</v>
      </c>
      <c r="N266" s="55">
        <v>24045.8</v>
      </c>
      <c r="O266" s="55">
        <v>24273.9</v>
      </c>
      <c r="P266" s="55">
        <v>24502</v>
      </c>
      <c r="Q266" s="55">
        <v>24730.1</v>
      </c>
      <c r="R266" s="55">
        <v>24958.2</v>
      </c>
      <c r="S266" s="55">
        <v>26440.55</v>
      </c>
      <c r="T266" s="55">
        <v>27922.9</v>
      </c>
      <c r="U266" s="55">
        <v>29405.25</v>
      </c>
      <c r="V266" s="55">
        <v>30887.599999999999</v>
      </c>
      <c r="W266" s="55">
        <v>33414.6</v>
      </c>
      <c r="X266" s="55">
        <v>35941.599999999999</v>
      </c>
      <c r="Y266" s="55">
        <v>38468.6</v>
      </c>
      <c r="Z266" s="55">
        <v>40995.599999999999</v>
      </c>
      <c r="AA266" s="55">
        <v>43519.719137060689</v>
      </c>
      <c r="AB266" s="55">
        <v>46049.465437399922</v>
      </c>
      <c r="AC266" s="55">
        <v>48650.241442601895</v>
      </c>
      <c r="AD266" s="55">
        <v>51220.155677654082</v>
      </c>
      <c r="AE266" s="55">
        <v>53666.503748311894</v>
      </c>
    </row>
    <row r="267" spans="1:31" s="54" customFormat="1" x14ac:dyDescent="0.35">
      <c r="A267" s="57">
        <v>264</v>
      </c>
      <c r="B267" s="35"/>
      <c r="C267" s="35"/>
      <c r="D267" s="46" t="s">
        <v>11</v>
      </c>
      <c r="E267" s="46" t="s">
        <v>0</v>
      </c>
      <c r="F267" s="54">
        <f t="shared" ref="F267:K267" si="436">SUM(F268:F270)</f>
        <v>10289.394795527407</v>
      </c>
      <c r="G267" s="54">
        <f t="shared" si="436"/>
        <v>8985.9130158224925</v>
      </c>
      <c r="H267" s="54">
        <f t="shared" si="436"/>
        <v>4004.7161000000001</v>
      </c>
      <c r="I267" s="54">
        <f t="shared" si="436"/>
        <v>4011.5691472500002</v>
      </c>
      <c r="J267" s="54">
        <f t="shared" si="436"/>
        <v>4639.0090116800002</v>
      </c>
      <c r="K267" s="54">
        <f t="shared" si="436"/>
        <v>6868.3463408700018</v>
      </c>
      <c r="L267" s="54">
        <f t="shared" ref="L267" si="437">SUM(L268:L270)</f>
        <v>4679.5395895199981</v>
      </c>
      <c r="M267" s="54">
        <f t="shared" ref="M267" si="438">SUM(M268:M270)</f>
        <v>4550.9598900400015</v>
      </c>
      <c r="N267" s="54">
        <f t="shared" ref="N267" si="439">SUM(N268:N270)</f>
        <v>5488.2426949900009</v>
      </c>
      <c r="O267" s="54">
        <f t="shared" ref="O267" si="440">SUM(O268:O270)</f>
        <v>7613.0780637699991</v>
      </c>
      <c r="P267" s="54">
        <f t="shared" ref="P267" si="441">SUM(P268:P270)</f>
        <v>7780.8041191600032</v>
      </c>
      <c r="Q267" s="54">
        <f t="shared" ref="Q267" si="442">SUM(Q268:Q270)</f>
        <v>6589.7171122300006</v>
      </c>
      <c r="R267" s="54">
        <f t="shared" ref="R267" si="443">SUM(R268:R270)</f>
        <v>6408.1690319400004</v>
      </c>
      <c r="S267" s="54">
        <f t="shared" ref="S267" si="444">SUM(S268:S270)</f>
        <v>7736.1457373999992</v>
      </c>
      <c r="T267" s="54">
        <f t="shared" ref="T267" si="445">SUM(T268:T270)</f>
        <v>9019.9471771199987</v>
      </c>
      <c r="U267" s="54">
        <f t="shared" ref="U267" si="446">SUM(U268:U270)</f>
        <v>9036.0645112399907</v>
      </c>
      <c r="V267" s="54">
        <f t="shared" ref="V267" si="447">SUM(V268:V270)</f>
        <v>8449.51921081</v>
      </c>
      <c r="W267" s="54">
        <f t="shared" ref="W267" si="448">SUM(W268:W270)</f>
        <v>5857.3353501600013</v>
      </c>
      <c r="X267" s="54">
        <f t="shared" ref="X267" si="449">SUM(X268:X270)</f>
        <v>4982.3136028399986</v>
      </c>
      <c r="Y267" s="54">
        <f t="shared" ref="Y267" si="450">SUM(Y268:Y270)</f>
        <v>4567.0214092999968</v>
      </c>
      <c r="Z267" s="54">
        <f t="shared" ref="Z267" si="451">SUM(Z268:Z270)</f>
        <v>3443.8975818500003</v>
      </c>
      <c r="AA267" s="54">
        <f t="shared" ref="AA267" si="452">SUM(AA268:AA270)</f>
        <v>4330.3950184400019</v>
      </c>
      <c r="AB267" s="54">
        <f t="shared" ref="AB267:AC267" si="453">SUM(AB268:AB270)</f>
        <v>6119.7200017700006</v>
      </c>
      <c r="AC267" s="54">
        <f t="shared" si="453"/>
        <v>6417.7938841099995</v>
      </c>
      <c r="AD267" s="54">
        <v>9561.0413279500044</v>
      </c>
      <c r="AE267" s="54">
        <v>9654.7889510699988</v>
      </c>
    </row>
    <row r="268" spans="1:31" s="55" customFormat="1" x14ac:dyDescent="0.35">
      <c r="A268" s="57">
        <v>265</v>
      </c>
      <c r="B268" s="35"/>
      <c r="C268" s="35"/>
      <c r="D268" s="47" t="s">
        <v>21</v>
      </c>
      <c r="E268" s="47" t="s">
        <v>20</v>
      </c>
      <c r="F268" s="55">
        <v>10289.03746</v>
      </c>
      <c r="G268" s="55">
        <v>8985.54140964</v>
      </c>
      <c r="H268" s="55">
        <v>4004.7161000000001</v>
      </c>
      <c r="I268" s="55">
        <v>4011.5691472500002</v>
      </c>
      <c r="J268" s="55">
        <v>4639.0090116800002</v>
      </c>
      <c r="K268" s="55">
        <v>6868.3463408700018</v>
      </c>
      <c r="L268" s="55">
        <v>4679.5395895199981</v>
      </c>
      <c r="M268" s="55">
        <v>4550.9598900400015</v>
      </c>
      <c r="N268" s="55">
        <v>5488.2426949900009</v>
      </c>
      <c r="O268" s="55">
        <v>7613.0780637699991</v>
      </c>
      <c r="P268" s="55">
        <v>7780.8041191600032</v>
      </c>
      <c r="Q268" s="55">
        <v>6589.7171122300006</v>
      </c>
      <c r="R268" s="55">
        <v>6408.1690319400004</v>
      </c>
      <c r="S268" s="55">
        <v>7736.1457373999992</v>
      </c>
      <c r="T268" s="55">
        <v>9019.9471771199987</v>
      </c>
      <c r="U268" s="55">
        <v>9036.0645112399907</v>
      </c>
      <c r="V268" s="55">
        <v>8449.51921081</v>
      </c>
      <c r="W268" s="55">
        <v>5857.3353501600013</v>
      </c>
      <c r="X268" s="55">
        <v>4982.3136028399986</v>
      </c>
      <c r="Y268" s="55">
        <v>4567.0214092999968</v>
      </c>
      <c r="Z268" s="55">
        <v>3443.8975818500003</v>
      </c>
      <c r="AA268" s="55">
        <v>4330.3950184400019</v>
      </c>
      <c r="AB268" s="55">
        <v>6119.7200017700006</v>
      </c>
      <c r="AC268" s="55">
        <v>6417.7938841099995</v>
      </c>
      <c r="AD268" s="55">
        <v>9561.0413279500044</v>
      </c>
      <c r="AE268" s="55">
        <v>9654.7889510699988</v>
      </c>
    </row>
    <row r="269" spans="1:31" s="55" customFormat="1" x14ac:dyDescent="0.35">
      <c r="A269" s="57">
        <v>266</v>
      </c>
      <c r="B269" s="35"/>
      <c r="C269" s="35"/>
      <c r="D269" s="47" t="s">
        <v>12</v>
      </c>
      <c r="E269" s="47" t="s">
        <v>22</v>
      </c>
      <c r="F269" s="55">
        <v>0</v>
      </c>
      <c r="G269" s="55">
        <v>0</v>
      </c>
      <c r="H269" s="55">
        <v>0</v>
      </c>
      <c r="I269" s="55">
        <v>0</v>
      </c>
      <c r="J269" s="55">
        <v>0</v>
      </c>
      <c r="K269" s="55">
        <v>0</v>
      </c>
      <c r="L269" s="55">
        <v>0</v>
      </c>
      <c r="M269" s="55">
        <v>0</v>
      </c>
      <c r="N269" s="55">
        <v>0</v>
      </c>
      <c r="O269" s="55">
        <v>0</v>
      </c>
      <c r="P269" s="55">
        <v>0</v>
      </c>
      <c r="Q269" s="55">
        <v>0</v>
      </c>
      <c r="R269" s="55">
        <v>0</v>
      </c>
      <c r="S269" s="55">
        <v>0</v>
      </c>
      <c r="T269" s="55">
        <v>0</v>
      </c>
      <c r="U269" s="55">
        <v>0</v>
      </c>
      <c r="V269" s="55">
        <v>0</v>
      </c>
      <c r="W269" s="55">
        <v>0</v>
      </c>
      <c r="X269" s="55">
        <v>0</v>
      </c>
      <c r="Y269" s="55">
        <v>0</v>
      </c>
      <c r="Z269" s="55">
        <v>0</v>
      </c>
      <c r="AA269" s="55">
        <v>0</v>
      </c>
      <c r="AB269" s="55">
        <v>0</v>
      </c>
      <c r="AC269" s="55">
        <v>0</v>
      </c>
      <c r="AD269" s="55">
        <v>0</v>
      </c>
      <c r="AE269" s="55">
        <v>0</v>
      </c>
    </row>
    <row r="270" spans="1:31" s="55" customFormat="1" x14ac:dyDescent="0.35">
      <c r="A270" s="57">
        <v>267</v>
      </c>
      <c r="B270" s="35"/>
      <c r="C270" s="35"/>
      <c r="D270" s="47" t="s">
        <v>13</v>
      </c>
      <c r="E270" s="47" t="s">
        <v>23</v>
      </c>
      <c r="F270" s="55">
        <v>0.35733552740785113</v>
      </c>
      <c r="G270" s="55">
        <v>0.37160618249169453</v>
      </c>
      <c r="H270" s="55">
        <v>0</v>
      </c>
      <c r="I270" s="55">
        <v>0</v>
      </c>
      <c r="J270" s="55">
        <v>0</v>
      </c>
      <c r="K270" s="55">
        <v>0</v>
      </c>
      <c r="L270" s="55">
        <v>0</v>
      </c>
      <c r="M270" s="55">
        <v>0</v>
      </c>
      <c r="N270" s="55">
        <v>0</v>
      </c>
      <c r="O270" s="55">
        <v>0</v>
      </c>
      <c r="P270" s="55">
        <v>0</v>
      </c>
      <c r="Q270" s="55">
        <v>0</v>
      </c>
      <c r="R270" s="55">
        <v>0</v>
      </c>
      <c r="S270" s="55">
        <v>0</v>
      </c>
      <c r="T270" s="55">
        <v>0</v>
      </c>
      <c r="U270" s="55">
        <v>0</v>
      </c>
      <c r="V270" s="55">
        <v>0</v>
      </c>
      <c r="W270" s="55">
        <v>0</v>
      </c>
      <c r="X270" s="55">
        <v>0</v>
      </c>
      <c r="Y270" s="55">
        <v>0</v>
      </c>
      <c r="Z270" s="55">
        <v>0</v>
      </c>
      <c r="AA270" s="55">
        <v>0</v>
      </c>
      <c r="AB270" s="55">
        <v>0</v>
      </c>
      <c r="AC270" s="55">
        <v>0</v>
      </c>
      <c r="AD270" s="55">
        <v>0</v>
      </c>
      <c r="AE270" s="55">
        <v>0</v>
      </c>
    </row>
    <row r="271" spans="1:31" s="53" customFormat="1" x14ac:dyDescent="0.35">
      <c r="A271" s="57">
        <v>268</v>
      </c>
      <c r="B271" s="35"/>
      <c r="C271" s="35"/>
      <c r="D271" s="46" t="s">
        <v>1</v>
      </c>
      <c r="E271" s="46" t="s">
        <v>24</v>
      </c>
    </row>
    <row r="272" spans="1:31" s="54" customFormat="1" x14ac:dyDescent="0.35">
      <c r="A272" s="57">
        <v>269</v>
      </c>
      <c r="B272" s="35"/>
      <c r="C272" s="35"/>
      <c r="D272" s="46" t="s">
        <v>25</v>
      </c>
      <c r="E272" s="46" t="s">
        <v>26</v>
      </c>
      <c r="F272" s="54">
        <v>0</v>
      </c>
      <c r="G272" s="54">
        <v>0</v>
      </c>
      <c r="H272" s="54">
        <v>0</v>
      </c>
      <c r="I272" s="54">
        <v>0</v>
      </c>
      <c r="J272" s="54">
        <v>0</v>
      </c>
      <c r="K272" s="54">
        <v>0</v>
      </c>
      <c r="L272" s="54">
        <v>0</v>
      </c>
      <c r="M272" s="54">
        <v>0</v>
      </c>
      <c r="N272" s="54">
        <v>0</v>
      </c>
      <c r="O272" s="54">
        <v>0</v>
      </c>
      <c r="P272" s="54">
        <v>0</v>
      </c>
      <c r="Q272" s="54">
        <v>0</v>
      </c>
      <c r="R272" s="54">
        <v>0</v>
      </c>
      <c r="S272" s="54">
        <v>0</v>
      </c>
      <c r="T272" s="54">
        <v>0</v>
      </c>
      <c r="U272" s="54">
        <v>0</v>
      </c>
      <c r="V272" s="54">
        <v>0</v>
      </c>
      <c r="W272" s="54">
        <v>0</v>
      </c>
      <c r="X272" s="54">
        <v>0</v>
      </c>
      <c r="Y272" s="54">
        <v>0</v>
      </c>
      <c r="Z272" s="54">
        <v>0</v>
      </c>
      <c r="AA272" s="54">
        <v>0</v>
      </c>
      <c r="AB272" s="54">
        <v>0</v>
      </c>
      <c r="AC272" s="54">
        <v>0</v>
      </c>
      <c r="AD272" s="54">
        <v>0</v>
      </c>
      <c r="AE272" s="54">
        <v>0</v>
      </c>
    </row>
    <row r="273" spans="1:31" s="52" customFormat="1" ht="15.5" x14ac:dyDescent="0.35">
      <c r="A273" s="57">
        <v>270</v>
      </c>
      <c r="B273" s="35"/>
      <c r="C273" s="35"/>
      <c r="D273" s="45" t="s">
        <v>15</v>
      </c>
      <c r="E273" s="45" t="s">
        <v>17</v>
      </c>
      <c r="F273" s="52">
        <v>7.6668150000000006</v>
      </c>
      <c r="G273" s="52">
        <v>7.7927460000000002</v>
      </c>
      <c r="H273" s="52">
        <v>6.6690780000000007</v>
      </c>
      <c r="I273" s="52">
        <v>6.6856530000000012</v>
      </c>
      <c r="J273" s="52">
        <v>6.711627</v>
      </c>
      <c r="K273" s="52">
        <v>7.0866509999999998</v>
      </c>
      <c r="L273" s="52">
        <v>6.7187640000000002</v>
      </c>
      <c r="M273" s="52">
        <v>6.613035</v>
      </c>
      <c r="N273" s="52">
        <v>6.7136940000000003</v>
      </c>
      <c r="O273" s="52">
        <v>7.0231589999999997</v>
      </c>
      <c r="P273" s="52">
        <v>7.0104450000000007</v>
      </c>
      <c r="Q273" s="52">
        <v>6.888453000000001</v>
      </c>
      <c r="R273" s="52">
        <v>6.9206280000000007</v>
      </c>
      <c r="S273" s="52">
        <v>7.1456969999999993</v>
      </c>
      <c r="T273" s="52">
        <v>7.4574240000000005</v>
      </c>
      <c r="U273" s="52">
        <v>7.4574240000000005</v>
      </c>
      <c r="V273" s="52">
        <v>7.4715810000000005</v>
      </c>
      <c r="W273" s="52">
        <v>7.1782620000000001</v>
      </c>
      <c r="X273" s="52">
        <v>7.1281860000000004</v>
      </c>
      <c r="Y273" s="52">
        <v>7.0805670000000003</v>
      </c>
      <c r="Z273" s="52">
        <v>6.7884179999999992</v>
      </c>
      <c r="AA273" s="52">
        <v>6.8815110000000006</v>
      </c>
      <c r="AB273" s="52">
        <v>6.9921930000000003</v>
      </c>
      <c r="AC273" s="52">
        <v>6.7957500000000008</v>
      </c>
      <c r="AD273" s="52">
        <v>7.2068490000000001</v>
      </c>
      <c r="AE273" s="52">
        <v>7.0391490000000001</v>
      </c>
    </row>
    <row r="274" spans="1:31" s="51" customFormat="1" ht="9" customHeight="1" x14ac:dyDescent="0.35">
      <c r="A274" s="57">
        <v>271</v>
      </c>
      <c r="B274" s="35"/>
      <c r="C274" s="35"/>
      <c r="D274" s="49"/>
      <c r="E274" s="49"/>
      <c r="F274" s="51">
        <v>0</v>
      </c>
      <c r="G274" s="51">
        <v>0</v>
      </c>
      <c r="H274" s="51">
        <v>0</v>
      </c>
      <c r="I274" s="51">
        <v>0</v>
      </c>
      <c r="J274" s="51">
        <v>0</v>
      </c>
      <c r="K274" s="51">
        <v>0</v>
      </c>
      <c r="L274" s="51">
        <v>0</v>
      </c>
      <c r="M274" s="51">
        <v>0</v>
      </c>
      <c r="N274" s="51">
        <v>0</v>
      </c>
      <c r="O274" s="51">
        <v>0</v>
      </c>
      <c r="P274" s="51">
        <v>0</v>
      </c>
      <c r="Q274" s="51">
        <v>0</v>
      </c>
      <c r="R274" s="51">
        <v>0</v>
      </c>
      <c r="S274" s="51">
        <v>0</v>
      </c>
      <c r="T274" s="51">
        <v>0</v>
      </c>
      <c r="U274" s="51">
        <v>0</v>
      </c>
      <c r="V274" s="51">
        <v>0</v>
      </c>
      <c r="W274" s="51">
        <v>0</v>
      </c>
      <c r="X274" s="51">
        <v>0</v>
      </c>
      <c r="Y274" s="51">
        <v>0</v>
      </c>
      <c r="Z274" s="51">
        <v>0</v>
      </c>
      <c r="AA274" s="51">
        <v>0</v>
      </c>
      <c r="AB274" s="51">
        <v>0</v>
      </c>
      <c r="AC274" s="51">
        <v>0</v>
      </c>
      <c r="AD274" s="51">
        <v>0</v>
      </c>
      <c r="AE274" s="51">
        <v>0</v>
      </c>
    </row>
    <row r="275" spans="1:31" s="56" customFormat="1" ht="35.15" customHeight="1" x14ac:dyDescent="0.45">
      <c r="A275" s="57">
        <v>272</v>
      </c>
      <c r="B275" s="50" t="s">
        <v>32</v>
      </c>
      <c r="C275" s="42"/>
      <c r="D275" s="42"/>
      <c r="E275" s="35"/>
    </row>
    <row r="276" spans="1:31" s="56" customFormat="1" ht="26.15" customHeight="1" x14ac:dyDescent="0.45">
      <c r="A276" s="57">
        <v>273</v>
      </c>
      <c r="B276" s="42"/>
      <c r="C276" s="44" t="s">
        <v>6</v>
      </c>
      <c r="D276" s="44"/>
      <c r="E276" s="35"/>
    </row>
    <row r="277" spans="1:31" s="52" customFormat="1" ht="18" customHeight="1" x14ac:dyDescent="0.35">
      <c r="A277" s="57">
        <v>274</v>
      </c>
      <c r="B277" s="35"/>
      <c r="C277" s="35"/>
      <c r="D277" s="45" t="s">
        <v>9</v>
      </c>
      <c r="E277" s="45" t="s">
        <v>30</v>
      </c>
      <c r="F277" s="52">
        <f t="shared" ref="F277:K277" si="454">F278+F279+F283+F284</f>
        <v>47516.401456762898</v>
      </c>
      <c r="G277" s="52">
        <f t="shared" si="454"/>
        <v>51701.712037312696</v>
      </c>
      <c r="H277" s="52">
        <f t="shared" si="454"/>
        <v>54885.495066440009</v>
      </c>
      <c r="I277" s="52">
        <f t="shared" si="454"/>
        <v>58072.362539270005</v>
      </c>
      <c r="J277" s="52">
        <f t="shared" si="454"/>
        <v>64318.403757163302</v>
      </c>
      <c r="K277" s="52">
        <f t="shared" si="454"/>
        <v>65060.977794816376</v>
      </c>
      <c r="L277" s="52">
        <f t="shared" ref="L277" si="455">L278+L279+L283+L284</f>
        <v>66114.288871877623</v>
      </c>
      <c r="M277" s="52">
        <f t="shared" ref="M277" si="456">M278+M279+M283+M284</f>
        <v>67910.466160175638</v>
      </c>
      <c r="N277" s="52">
        <f t="shared" ref="N277" si="457">N278+N279+N283+N284</f>
        <v>74668.683646125166</v>
      </c>
      <c r="O277" s="52">
        <f t="shared" ref="O277" si="458">O278+O279+O283+O284</f>
        <v>73740.356398295902</v>
      </c>
      <c r="P277" s="52">
        <f t="shared" ref="P277" si="459">P278+P279+P283+P284</f>
        <v>77714.310576286371</v>
      </c>
      <c r="Q277" s="52">
        <f t="shared" ref="Q277" si="460">Q278+Q279+Q283+Q284</f>
        <v>79273.177739072693</v>
      </c>
      <c r="R277" s="52">
        <f t="shared" ref="R277" si="461">R278+R279+R283+R284</f>
        <v>81270.636593350006</v>
      </c>
      <c r="S277" s="52">
        <f t="shared" ref="S277" si="462">S278+S279+S283+S284</f>
        <v>73335.198805549997</v>
      </c>
      <c r="T277" s="52">
        <f t="shared" ref="T277" si="463">T278+T279+T283+T284</f>
        <v>74462.977482400005</v>
      </c>
      <c r="U277" s="52">
        <f t="shared" ref="U277" si="464">U278+U279+U283+U284</f>
        <v>75711.420814240017</v>
      </c>
      <c r="V277" s="52">
        <f t="shared" ref="V277" si="465">V278+V279+V283+V284</f>
        <v>83321.955815519992</v>
      </c>
      <c r="W277" s="52">
        <f t="shared" ref="W277" si="466">W278+W279+W283+W284</f>
        <v>84377.809368210001</v>
      </c>
      <c r="X277" s="52">
        <f t="shared" ref="X277" si="467">X278+X279+X283+X284</f>
        <v>89308.655021829996</v>
      </c>
      <c r="Y277" s="52">
        <f t="shared" ref="Y277" si="468">Y278+Y279+Y283+Y284</f>
        <v>87387.742130450002</v>
      </c>
      <c r="Z277" s="52">
        <f t="shared" ref="Z277" si="469">Z278+Z279+Z283+Z284</f>
        <v>93108.826496580004</v>
      </c>
      <c r="AA277" s="52">
        <f t="shared" ref="AA277" si="470">AA278+AA279+AA283+AA284</f>
        <v>96959.548540971853</v>
      </c>
      <c r="AB277" s="52">
        <f t="shared" ref="AB277:AC277" si="471">AB278+AB279+AB283+AB284</f>
        <v>99866.099748815832</v>
      </c>
      <c r="AC277" s="52">
        <f t="shared" si="471"/>
        <v>103746.69379253747</v>
      </c>
      <c r="AD277" s="52">
        <v>107123.23054990299</v>
      </c>
      <c r="AE277" s="52">
        <v>105466.4466741877</v>
      </c>
    </row>
    <row r="278" spans="1:31" s="54" customFormat="1" x14ac:dyDescent="0.35">
      <c r="A278" s="57">
        <v>275</v>
      </c>
      <c r="B278" s="35"/>
      <c r="C278" s="35"/>
      <c r="D278" s="46" t="s">
        <v>10</v>
      </c>
      <c r="E278" s="46" t="s">
        <v>18</v>
      </c>
      <c r="F278" s="54">
        <v>0</v>
      </c>
      <c r="G278" s="54">
        <v>0</v>
      </c>
      <c r="H278" s="54">
        <v>0</v>
      </c>
      <c r="I278" s="54">
        <v>0</v>
      </c>
      <c r="J278" s="54">
        <v>0</v>
      </c>
      <c r="K278" s="54">
        <v>0</v>
      </c>
      <c r="L278" s="54">
        <v>0</v>
      </c>
      <c r="M278" s="54">
        <v>0</v>
      </c>
      <c r="N278" s="54">
        <v>0</v>
      </c>
      <c r="O278" s="54">
        <v>0</v>
      </c>
      <c r="P278" s="54">
        <v>0</v>
      </c>
      <c r="Q278" s="54">
        <v>0</v>
      </c>
      <c r="R278" s="54">
        <v>0</v>
      </c>
      <c r="S278" s="54">
        <v>0</v>
      </c>
      <c r="T278" s="54">
        <v>0</v>
      </c>
      <c r="U278" s="54">
        <v>0</v>
      </c>
      <c r="V278" s="54">
        <v>0</v>
      </c>
      <c r="W278" s="54">
        <v>0</v>
      </c>
      <c r="X278" s="54">
        <v>0</v>
      </c>
      <c r="Y278" s="54">
        <v>0</v>
      </c>
      <c r="Z278" s="54">
        <v>0</v>
      </c>
      <c r="AA278" s="54">
        <v>0</v>
      </c>
      <c r="AB278" s="54">
        <v>0</v>
      </c>
      <c r="AC278" s="54">
        <v>0</v>
      </c>
      <c r="AD278" s="54">
        <v>0</v>
      </c>
      <c r="AE278" s="54">
        <v>0</v>
      </c>
    </row>
    <row r="279" spans="1:31" s="54" customFormat="1" x14ac:dyDescent="0.35">
      <c r="A279" s="57">
        <v>276</v>
      </c>
      <c r="B279" s="35"/>
      <c r="C279" s="35"/>
      <c r="D279" s="46" t="s">
        <v>11</v>
      </c>
      <c r="E279" s="46" t="s">
        <v>0</v>
      </c>
      <c r="F279" s="54">
        <f t="shared" ref="F279:K279" si="472">SUM(F280:F282)</f>
        <v>47516.401456762898</v>
      </c>
      <c r="G279" s="54">
        <f t="shared" si="472"/>
        <v>51701.712037312696</v>
      </c>
      <c r="H279" s="54">
        <f t="shared" si="472"/>
        <v>54885.495066440009</v>
      </c>
      <c r="I279" s="54">
        <f t="shared" si="472"/>
        <v>58072.362539270005</v>
      </c>
      <c r="J279" s="54">
        <f t="shared" si="472"/>
        <v>64318.403757163302</v>
      </c>
      <c r="K279" s="54">
        <f t="shared" si="472"/>
        <v>65060.977794816376</v>
      </c>
      <c r="L279" s="54">
        <f t="shared" ref="L279" si="473">SUM(L280:L282)</f>
        <v>66114.288871877623</v>
      </c>
      <c r="M279" s="54">
        <f t="shared" ref="M279" si="474">SUM(M280:M282)</f>
        <v>67910.466160175638</v>
      </c>
      <c r="N279" s="54">
        <f t="shared" ref="N279" si="475">SUM(N280:N282)</f>
        <v>74668.683646125166</v>
      </c>
      <c r="O279" s="54">
        <f t="shared" ref="O279" si="476">SUM(O280:O282)</f>
        <v>73740.356398295902</v>
      </c>
      <c r="P279" s="54">
        <f t="shared" ref="P279" si="477">SUM(P280:P282)</f>
        <v>77714.310576286371</v>
      </c>
      <c r="Q279" s="54">
        <f t="shared" ref="Q279" si="478">SUM(Q280:Q282)</f>
        <v>79273.177739072693</v>
      </c>
      <c r="R279" s="54">
        <f t="shared" ref="R279" si="479">SUM(R280:R282)</f>
        <v>81270.636593350006</v>
      </c>
      <c r="S279" s="54">
        <f t="shared" ref="S279" si="480">SUM(S280:S282)</f>
        <v>73335.198805549997</v>
      </c>
      <c r="T279" s="54">
        <f t="shared" ref="T279" si="481">SUM(T280:T282)</f>
        <v>74462.977482400005</v>
      </c>
      <c r="U279" s="54">
        <f t="shared" ref="U279" si="482">SUM(U280:U282)</f>
        <v>75711.420814240017</v>
      </c>
      <c r="V279" s="54">
        <f t="shared" ref="V279" si="483">SUM(V280:V282)</f>
        <v>83321.955815519992</v>
      </c>
      <c r="W279" s="54">
        <f t="shared" ref="W279" si="484">SUM(W280:W282)</f>
        <v>84377.809368210001</v>
      </c>
      <c r="X279" s="54">
        <f t="shared" ref="X279" si="485">SUM(X280:X282)</f>
        <v>89308.655021829996</v>
      </c>
      <c r="Y279" s="54">
        <f t="shared" ref="Y279" si="486">SUM(Y280:Y282)</f>
        <v>87387.742130450002</v>
      </c>
      <c r="Z279" s="54">
        <f t="shared" ref="Z279" si="487">SUM(Z280:Z282)</f>
        <v>93108.826496580004</v>
      </c>
      <c r="AA279" s="54">
        <f t="shared" ref="AA279" si="488">SUM(AA280:AA282)</f>
        <v>96959.548540971853</v>
      </c>
      <c r="AB279" s="54">
        <f t="shared" ref="AB279:AC279" si="489">SUM(AB280:AB282)</f>
        <v>99866.099748815832</v>
      </c>
      <c r="AC279" s="54">
        <f t="shared" si="489"/>
        <v>103746.69379253747</v>
      </c>
      <c r="AD279" s="54">
        <v>107123.23054990299</v>
      </c>
      <c r="AE279" s="54">
        <v>105466.4466741877</v>
      </c>
    </row>
    <row r="280" spans="1:31" s="55" customFormat="1" x14ac:dyDescent="0.35">
      <c r="A280" s="57">
        <v>277</v>
      </c>
      <c r="B280" s="35"/>
      <c r="C280" s="35"/>
      <c r="D280" s="47" t="s">
        <v>21</v>
      </c>
      <c r="E280" s="47" t="s">
        <v>20</v>
      </c>
      <c r="F280" s="55">
        <v>47516.401456762898</v>
      </c>
      <c r="G280" s="55">
        <v>51701.712037312696</v>
      </c>
      <c r="H280" s="55">
        <v>54885.495066440009</v>
      </c>
      <c r="I280" s="55">
        <v>58072.362539270005</v>
      </c>
      <c r="J280" s="55">
        <v>64318.403757163302</v>
      </c>
      <c r="K280" s="55">
        <v>65060.977794816376</v>
      </c>
      <c r="L280" s="55">
        <v>66114.288871877623</v>
      </c>
      <c r="M280" s="55">
        <v>67910.466160175638</v>
      </c>
      <c r="N280" s="55">
        <v>74668.683646125166</v>
      </c>
      <c r="O280" s="55">
        <v>73740.356398295902</v>
      </c>
      <c r="P280" s="55">
        <v>77714.310576286371</v>
      </c>
      <c r="Q280" s="55">
        <v>79273.177739072693</v>
      </c>
      <c r="R280" s="55">
        <v>81270.636593350006</v>
      </c>
      <c r="S280" s="55">
        <v>73335.198805549997</v>
      </c>
      <c r="T280" s="55">
        <v>74462.977482400005</v>
      </c>
      <c r="U280" s="55">
        <v>75711.420814240017</v>
      </c>
      <c r="V280" s="55">
        <v>83321.955815519992</v>
      </c>
      <c r="W280" s="55">
        <v>84377.809368210001</v>
      </c>
      <c r="X280" s="55">
        <v>89308.655021829996</v>
      </c>
      <c r="Y280" s="55">
        <v>87387.742130450002</v>
      </c>
      <c r="Z280" s="55">
        <v>93108.826496580004</v>
      </c>
      <c r="AA280" s="55">
        <v>96959.548540971853</v>
      </c>
      <c r="AB280" s="55">
        <v>99866.099748815832</v>
      </c>
      <c r="AC280" s="55">
        <v>103746.69379253747</v>
      </c>
      <c r="AD280" s="55">
        <v>107123.23054990299</v>
      </c>
      <c r="AE280" s="55">
        <v>105466.4466741877</v>
      </c>
    </row>
    <row r="281" spans="1:31" s="55" customFormat="1" x14ac:dyDescent="0.35">
      <c r="A281" s="57">
        <v>278</v>
      </c>
      <c r="B281" s="35"/>
      <c r="C281" s="35"/>
      <c r="D281" s="47" t="s">
        <v>12</v>
      </c>
      <c r="E281" s="47" t="s">
        <v>22</v>
      </c>
      <c r="F281" s="55">
        <v>0</v>
      </c>
      <c r="G281" s="55">
        <v>0</v>
      </c>
      <c r="H281" s="55">
        <v>0</v>
      </c>
      <c r="I281" s="55">
        <v>0</v>
      </c>
      <c r="J281" s="55">
        <v>0</v>
      </c>
      <c r="K281" s="55">
        <v>0</v>
      </c>
      <c r="L281" s="55">
        <v>0</v>
      </c>
      <c r="M281" s="55">
        <v>0</v>
      </c>
      <c r="N281" s="55">
        <v>0</v>
      </c>
      <c r="O281" s="55">
        <v>0</v>
      </c>
      <c r="P281" s="55">
        <v>0</v>
      </c>
      <c r="Q281" s="55">
        <v>0</v>
      </c>
      <c r="R281" s="55">
        <v>0</v>
      </c>
      <c r="S281" s="55">
        <v>0</v>
      </c>
      <c r="T281" s="55">
        <v>0</v>
      </c>
      <c r="U281" s="55">
        <v>0</v>
      </c>
      <c r="V281" s="55">
        <v>0</v>
      </c>
      <c r="W281" s="55">
        <v>0</v>
      </c>
      <c r="X281" s="55">
        <v>0</v>
      </c>
      <c r="Y281" s="55">
        <v>0</v>
      </c>
      <c r="Z281" s="55">
        <v>0</v>
      </c>
      <c r="AA281" s="55">
        <v>0</v>
      </c>
      <c r="AB281" s="55">
        <v>0</v>
      </c>
      <c r="AC281" s="55">
        <v>0</v>
      </c>
      <c r="AD281" s="55">
        <v>0</v>
      </c>
      <c r="AE281" s="55">
        <v>0</v>
      </c>
    </row>
    <row r="282" spans="1:31" s="55" customFormat="1" x14ac:dyDescent="0.35">
      <c r="A282" s="57">
        <v>279</v>
      </c>
      <c r="B282" s="35"/>
      <c r="C282" s="35"/>
      <c r="D282" s="47" t="s">
        <v>13</v>
      </c>
      <c r="E282" s="47" t="s">
        <v>23</v>
      </c>
      <c r="F282" s="55">
        <v>0</v>
      </c>
      <c r="G282" s="55">
        <v>0</v>
      </c>
      <c r="H282" s="55">
        <v>0</v>
      </c>
      <c r="I282" s="55">
        <v>0</v>
      </c>
      <c r="J282" s="55">
        <v>0</v>
      </c>
      <c r="K282" s="55">
        <v>0</v>
      </c>
      <c r="L282" s="55">
        <v>0</v>
      </c>
      <c r="M282" s="55">
        <v>0</v>
      </c>
      <c r="N282" s="55">
        <v>0</v>
      </c>
      <c r="O282" s="55">
        <v>0</v>
      </c>
      <c r="P282" s="55">
        <v>0</v>
      </c>
      <c r="Q282" s="55">
        <v>0</v>
      </c>
      <c r="R282" s="55">
        <v>0</v>
      </c>
      <c r="S282" s="55">
        <v>0</v>
      </c>
      <c r="T282" s="55">
        <v>0</v>
      </c>
      <c r="U282" s="55">
        <v>0</v>
      </c>
      <c r="V282" s="55">
        <v>0</v>
      </c>
      <c r="W282" s="55">
        <v>0</v>
      </c>
      <c r="X282" s="55">
        <v>0</v>
      </c>
      <c r="Y282" s="55">
        <v>0</v>
      </c>
      <c r="Z282" s="55">
        <v>0</v>
      </c>
      <c r="AA282" s="55">
        <v>0</v>
      </c>
      <c r="AB282" s="55">
        <v>0</v>
      </c>
      <c r="AC282" s="55">
        <v>0</v>
      </c>
      <c r="AD282" s="55">
        <v>0</v>
      </c>
      <c r="AE282" s="55">
        <v>0</v>
      </c>
    </row>
    <row r="283" spans="1:31" s="55" customFormat="1" x14ac:dyDescent="0.35">
      <c r="A283" s="57">
        <v>280</v>
      </c>
      <c r="B283" s="35"/>
      <c r="C283" s="35"/>
      <c r="D283" s="46" t="s">
        <v>14</v>
      </c>
      <c r="E283" s="46" t="s">
        <v>24</v>
      </c>
      <c r="F283" s="55">
        <v>0</v>
      </c>
      <c r="G283" s="55">
        <v>0</v>
      </c>
      <c r="H283" s="55">
        <v>0</v>
      </c>
      <c r="I283" s="55">
        <v>0</v>
      </c>
      <c r="J283" s="55">
        <v>0</v>
      </c>
      <c r="K283" s="55">
        <v>0</v>
      </c>
      <c r="L283" s="55">
        <v>0</v>
      </c>
      <c r="M283" s="55">
        <v>0</v>
      </c>
      <c r="N283" s="55">
        <v>0</v>
      </c>
      <c r="O283" s="55">
        <v>0</v>
      </c>
      <c r="P283" s="55">
        <v>0</v>
      </c>
      <c r="Q283" s="55">
        <v>0</v>
      </c>
      <c r="R283" s="55">
        <v>0</v>
      </c>
      <c r="S283" s="55">
        <v>0</v>
      </c>
      <c r="T283" s="55">
        <v>0</v>
      </c>
      <c r="U283" s="55">
        <v>0</v>
      </c>
      <c r="V283" s="55">
        <v>0</v>
      </c>
      <c r="W283" s="55">
        <v>0</v>
      </c>
      <c r="X283" s="55">
        <v>0</v>
      </c>
      <c r="Y283" s="55">
        <v>0</v>
      </c>
      <c r="Z283" s="55">
        <v>0</v>
      </c>
      <c r="AA283" s="55">
        <v>0</v>
      </c>
      <c r="AB283" s="55">
        <v>0</v>
      </c>
      <c r="AC283" s="55">
        <v>0</v>
      </c>
      <c r="AD283" s="55">
        <v>0</v>
      </c>
      <c r="AE283" s="55">
        <v>0</v>
      </c>
    </row>
    <row r="284" spans="1:31" s="58" customFormat="1" x14ac:dyDescent="0.35">
      <c r="A284" s="57">
        <v>281</v>
      </c>
      <c r="B284" s="35"/>
      <c r="C284" s="35"/>
      <c r="D284" s="46" t="s">
        <v>25</v>
      </c>
      <c r="E284" s="46" t="s">
        <v>26</v>
      </c>
    </row>
    <row r="285" spans="1:31" s="52" customFormat="1" ht="15.5" x14ac:dyDescent="0.35">
      <c r="A285" s="57">
        <v>282</v>
      </c>
      <c r="B285" s="35"/>
      <c r="C285" s="35"/>
      <c r="D285" s="45" t="s">
        <v>15</v>
      </c>
      <c r="E285" s="45" t="s">
        <v>17</v>
      </c>
      <c r="F285" s="52">
        <v>38501.498930607195</v>
      </c>
      <c r="G285" s="52">
        <v>31499.816181361453</v>
      </c>
      <c r="H285" s="52">
        <v>19120.439037258471</v>
      </c>
      <c r="I285" s="52">
        <v>11423.164286589255</v>
      </c>
      <c r="J285" s="52">
        <v>6598.8036675366948</v>
      </c>
      <c r="K285" s="52">
        <v>10622.231504083629</v>
      </c>
      <c r="L285" s="52">
        <v>9596.1755560823858</v>
      </c>
      <c r="M285" s="52">
        <v>5226.6880510043675</v>
      </c>
      <c r="N285" s="52">
        <v>3384.4975597148309</v>
      </c>
      <c r="O285" s="52">
        <v>5889.7994153740974</v>
      </c>
      <c r="P285" s="52">
        <v>5269.8884686536148</v>
      </c>
      <c r="Q285" s="52">
        <v>4122.6217498172928</v>
      </c>
      <c r="R285" s="52">
        <v>5880.4043760000004</v>
      </c>
      <c r="S285" s="52">
        <v>8343.6089739999989</v>
      </c>
      <c r="T285" s="52">
        <v>4926.2978080000003</v>
      </c>
      <c r="U285" s="52">
        <v>3537.1135679999788</v>
      </c>
      <c r="V285" s="52">
        <v>2729.0428550000138</v>
      </c>
      <c r="W285" s="52">
        <v>4745.7514720000027</v>
      </c>
      <c r="X285" s="52">
        <v>5002.7071540000015</v>
      </c>
      <c r="Y285" s="52">
        <v>4443.5431159999944</v>
      </c>
      <c r="Z285" s="52">
        <v>4600.8067839999994</v>
      </c>
      <c r="AA285" s="52">
        <v>3498.1014250000003</v>
      </c>
      <c r="AB285" s="52">
        <v>2640.8975100000002</v>
      </c>
      <c r="AC285" s="52">
        <v>1587.4175000000002</v>
      </c>
      <c r="AD285" s="52">
        <v>5140.5160380000007</v>
      </c>
      <c r="AE285" s="52">
        <v>3602.0846513376546</v>
      </c>
    </row>
    <row r="286" spans="1:31" s="51" customFormat="1" ht="9" customHeight="1" x14ac:dyDescent="0.35">
      <c r="A286" s="57">
        <v>283</v>
      </c>
      <c r="B286" s="35"/>
      <c r="C286" s="35"/>
      <c r="D286" s="49"/>
      <c r="E286" s="49"/>
      <c r="F286" s="51">
        <v>0</v>
      </c>
      <c r="G286" s="51">
        <v>0</v>
      </c>
      <c r="H286" s="51">
        <v>0</v>
      </c>
      <c r="I286" s="51">
        <v>0</v>
      </c>
      <c r="J286" s="51">
        <v>0</v>
      </c>
      <c r="K286" s="51">
        <v>0</v>
      </c>
      <c r="L286" s="51">
        <v>0</v>
      </c>
      <c r="M286" s="51">
        <v>0</v>
      </c>
      <c r="N286" s="51">
        <v>0</v>
      </c>
      <c r="O286" s="51">
        <v>0</v>
      </c>
      <c r="P286" s="51">
        <v>0</v>
      </c>
      <c r="Q286" s="51">
        <v>0</v>
      </c>
      <c r="R286" s="51">
        <v>0</v>
      </c>
      <c r="S286" s="51">
        <v>0</v>
      </c>
      <c r="T286" s="51">
        <v>0</v>
      </c>
      <c r="U286" s="51">
        <v>0</v>
      </c>
      <c r="V286" s="51">
        <v>0</v>
      </c>
      <c r="W286" s="51">
        <v>0</v>
      </c>
      <c r="X286" s="51">
        <v>0</v>
      </c>
      <c r="Y286" s="51">
        <v>0</v>
      </c>
      <c r="Z286" s="51">
        <v>0</v>
      </c>
      <c r="AA286" s="51">
        <v>0</v>
      </c>
      <c r="AB286" s="51">
        <v>0</v>
      </c>
      <c r="AC286" s="51">
        <v>0</v>
      </c>
      <c r="AD286" s="51">
        <v>0</v>
      </c>
      <c r="AE286" s="51">
        <v>0</v>
      </c>
    </row>
    <row r="287" spans="1:31" s="99" customFormat="1" ht="26.15" customHeight="1" x14ac:dyDescent="0.45">
      <c r="A287" s="57">
        <v>284</v>
      </c>
      <c r="B287" s="42"/>
      <c r="C287" s="44" t="s">
        <v>7</v>
      </c>
      <c r="D287" s="44"/>
      <c r="E287" s="35"/>
      <c r="F287" s="56"/>
      <c r="G287" s="56"/>
      <c r="H287" s="56"/>
      <c r="I287" s="56"/>
      <c r="J287" s="56"/>
      <c r="K287" s="56"/>
      <c r="L287" s="56"/>
      <c r="M287" s="56"/>
      <c r="N287" s="56"/>
      <c r="O287" s="56"/>
      <c r="P287" s="56"/>
      <c r="Q287" s="56"/>
      <c r="R287" s="56"/>
      <c r="S287" s="56"/>
      <c r="T287" s="56"/>
    </row>
    <row r="288" spans="1:31" s="52" customFormat="1" ht="18" customHeight="1" x14ac:dyDescent="0.35">
      <c r="A288" s="57">
        <v>285</v>
      </c>
      <c r="B288" s="35"/>
      <c r="C288" s="35"/>
      <c r="D288" s="45" t="s">
        <v>9</v>
      </c>
      <c r="E288" s="45" t="s">
        <v>30</v>
      </c>
      <c r="F288" s="52">
        <f t="shared" ref="F288:K288" si="490">F289+F290+F294+F295</f>
        <v>0</v>
      </c>
      <c r="G288" s="52">
        <f t="shared" si="490"/>
        <v>0</v>
      </c>
      <c r="H288" s="52">
        <f t="shared" si="490"/>
        <v>0</v>
      </c>
      <c r="I288" s="52">
        <f t="shared" si="490"/>
        <v>0</v>
      </c>
      <c r="J288" s="52">
        <f t="shared" si="490"/>
        <v>0</v>
      </c>
      <c r="K288" s="52">
        <f t="shared" si="490"/>
        <v>0</v>
      </c>
      <c r="L288" s="52">
        <f t="shared" ref="L288" si="491">L289+L290+L294+L295</f>
        <v>0</v>
      </c>
      <c r="M288" s="52">
        <f t="shared" ref="M288" si="492">M289+M290+M294+M295</f>
        <v>0</v>
      </c>
      <c r="N288" s="52">
        <f t="shared" ref="N288" si="493">N289+N290+N294+N295</f>
        <v>0</v>
      </c>
      <c r="O288" s="52">
        <f t="shared" ref="O288" si="494">O289+O290+O294+O295</f>
        <v>0</v>
      </c>
      <c r="P288" s="52">
        <f t="shared" ref="P288" si="495">P289+P290+P294+P295</f>
        <v>0</v>
      </c>
      <c r="Q288" s="52">
        <f t="shared" ref="Q288" si="496">Q289+Q290+Q294+Q295</f>
        <v>0</v>
      </c>
      <c r="R288" s="52">
        <f t="shared" ref="R288" si="497">R289+R290+R294+R295</f>
        <v>0</v>
      </c>
      <c r="S288" s="52">
        <f t="shared" ref="S288" si="498">S289+S290+S294+S295</f>
        <v>0</v>
      </c>
      <c r="T288" s="52">
        <f t="shared" ref="T288" si="499">T289+T290+T294+T295</f>
        <v>0</v>
      </c>
      <c r="U288" s="52">
        <f t="shared" ref="U288" si="500">U289+U290+U294+U295</f>
        <v>0</v>
      </c>
      <c r="V288" s="52">
        <f t="shared" ref="V288" si="501">V289+V290+V294+V295</f>
        <v>0</v>
      </c>
      <c r="W288" s="52">
        <f t="shared" ref="W288" si="502">W289+W290+W294+W295</f>
        <v>0</v>
      </c>
      <c r="X288" s="52">
        <f t="shared" ref="X288" si="503">X289+X290+X294+X295</f>
        <v>86.305053000000001</v>
      </c>
      <c r="Y288" s="52">
        <f t="shared" ref="Y288" si="504">Y289+Y290+Y294+Y295</f>
        <v>257.43098700000002</v>
      </c>
      <c r="Z288" s="52">
        <f t="shared" ref="Z288" si="505">Z289+Z290+Z294+Z295</f>
        <v>252.762688</v>
      </c>
      <c r="AA288" s="52">
        <f t="shared" ref="AA288" si="506">AA289+AA290+AA294+AA295</f>
        <v>412.70248900000001</v>
      </c>
      <c r="AB288" s="52">
        <f t="shared" ref="AB288:AC288" si="507">AB289+AB290+AB294+AB295</f>
        <v>520.22649799999999</v>
      </c>
      <c r="AC288" s="52">
        <f t="shared" si="507"/>
        <v>713.50077999999996</v>
      </c>
      <c r="AD288" s="52">
        <v>778.28424700000005</v>
      </c>
      <c r="AE288" s="52">
        <v>717.58811400000002</v>
      </c>
    </row>
    <row r="289" spans="1:31" s="55" customFormat="1" x14ac:dyDescent="0.35">
      <c r="A289" s="57">
        <v>286</v>
      </c>
      <c r="B289" s="35"/>
      <c r="C289" s="35"/>
      <c r="D289" s="46" t="s">
        <v>10</v>
      </c>
      <c r="E289" s="46" t="s">
        <v>18</v>
      </c>
      <c r="F289" s="55">
        <v>0</v>
      </c>
      <c r="G289" s="55">
        <v>0</v>
      </c>
      <c r="H289" s="55">
        <v>0</v>
      </c>
      <c r="I289" s="55">
        <v>0</v>
      </c>
      <c r="J289" s="55">
        <v>0</v>
      </c>
      <c r="K289" s="55">
        <v>0</v>
      </c>
      <c r="L289" s="55">
        <v>0</v>
      </c>
      <c r="M289" s="55">
        <v>0</v>
      </c>
      <c r="N289" s="55">
        <v>0</v>
      </c>
      <c r="O289" s="55">
        <v>0</v>
      </c>
      <c r="P289" s="55">
        <v>0</v>
      </c>
      <c r="Q289" s="55">
        <v>0</v>
      </c>
      <c r="R289" s="55">
        <v>0</v>
      </c>
      <c r="S289" s="55">
        <v>0</v>
      </c>
      <c r="T289" s="55">
        <v>0</v>
      </c>
      <c r="U289" s="55">
        <v>0</v>
      </c>
      <c r="V289" s="55">
        <v>0</v>
      </c>
      <c r="W289" s="55">
        <v>0</v>
      </c>
      <c r="X289" s="55">
        <v>0</v>
      </c>
      <c r="Y289" s="55">
        <v>0</v>
      </c>
      <c r="Z289" s="55">
        <v>0</v>
      </c>
      <c r="AA289" s="55">
        <v>0</v>
      </c>
      <c r="AB289" s="55">
        <v>0</v>
      </c>
      <c r="AC289" s="55">
        <v>0</v>
      </c>
      <c r="AD289" s="55">
        <v>0</v>
      </c>
      <c r="AE289" s="55">
        <v>0</v>
      </c>
    </row>
    <row r="290" spans="1:31" s="54" customFormat="1" x14ac:dyDescent="0.35">
      <c r="A290" s="57">
        <v>287</v>
      </c>
      <c r="B290" s="35"/>
      <c r="C290" s="35"/>
      <c r="D290" s="46" t="s">
        <v>11</v>
      </c>
      <c r="E290" s="46" t="s">
        <v>0</v>
      </c>
      <c r="F290" s="54">
        <f t="shared" ref="F290:K290" si="508">SUM(F291:F293)</f>
        <v>0</v>
      </c>
      <c r="G290" s="54">
        <f t="shared" si="508"/>
        <v>0</v>
      </c>
      <c r="H290" s="54">
        <f t="shared" si="508"/>
        <v>0</v>
      </c>
      <c r="I290" s="54">
        <f t="shared" si="508"/>
        <v>0</v>
      </c>
      <c r="J290" s="54">
        <f t="shared" si="508"/>
        <v>0</v>
      </c>
      <c r="K290" s="54">
        <f t="shared" si="508"/>
        <v>0</v>
      </c>
      <c r="L290" s="54">
        <f t="shared" ref="L290" si="509">SUM(L291:L293)</f>
        <v>0</v>
      </c>
      <c r="M290" s="54">
        <f t="shared" ref="M290" si="510">SUM(M291:M293)</f>
        <v>0</v>
      </c>
      <c r="N290" s="54">
        <f t="shared" ref="N290" si="511">SUM(N291:N293)</f>
        <v>0</v>
      </c>
      <c r="O290" s="54">
        <f t="shared" ref="O290" si="512">SUM(O291:O293)</f>
        <v>0</v>
      </c>
      <c r="P290" s="54">
        <f t="shared" ref="P290" si="513">SUM(P291:P293)</f>
        <v>0</v>
      </c>
      <c r="Q290" s="54">
        <f t="shared" ref="Q290" si="514">SUM(Q291:Q293)</f>
        <v>0</v>
      </c>
      <c r="R290" s="54">
        <f t="shared" ref="R290" si="515">SUM(R291:R293)</f>
        <v>0</v>
      </c>
      <c r="S290" s="54">
        <f t="shared" ref="S290" si="516">SUM(S291:S293)</f>
        <v>0</v>
      </c>
      <c r="T290" s="54">
        <f t="shared" ref="T290" si="517">SUM(T291:T293)</f>
        <v>0</v>
      </c>
      <c r="U290" s="54">
        <f t="shared" ref="U290" si="518">SUM(U291:U293)</f>
        <v>0</v>
      </c>
      <c r="V290" s="54">
        <f t="shared" ref="V290" si="519">SUM(V291:V293)</f>
        <v>0</v>
      </c>
      <c r="W290" s="54">
        <f t="shared" ref="W290" si="520">SUM(W291:W293)</f>
        <v>0</v>
      </c>
      <c r="X290" s="54">
        <f t="shared" ref="X290" si="521">SUM(X291:X293)</f>
        <v>86.305053000000001</v>
      </c>
      <c r="Y290" s="54">
        <f t="shared" ref="Y290" si="522">SUM(Y291:Y293)</f>
        <v>257.43098700000002</v>
      </c>
      <c r="Z290" s="54">
        <f t="shared" ref="Z290" si="523">SUM(Z291:Z293)</f>
        <v>252.762688</v>
      </c>
      <c r="AA290" s="54">
        <f t="shared" ref="AA290" si="524">SUM(AA291:AA293)</f>
        <v>412.70248900000001</v>
      </c>
      <c r="AB290" s="54">
        <f t="shared" ref="AB290:AC290" si="525">SUM(AB291:AB293)</f>
        <v>520.22649799999999</v>
      </c>
      <c r="AC290" s="54">
        <f t="shared" si="525"/>
        <v>713.50077999999996</v>
      </c>
      <c r="AD290" s="54">
        <v>778.28424700000005</v>
      </c>
      <c r="AE290" s="54">
        <v>717.58811400000002</v>
      </c>
    </row>
    <row r="291" spans="1:31" s="55" customFormat="1" x14ac:dyDescent="0.35">
      <c r="A291" s="57">
        <v>288</v>
      </c>
      <c r="B291" s="35"/>
      <c r="C291" s="35"/>
      <c r="D291" s="47" t="s">
        <v>21</v>
      </c>
      <c r="E291" s="47" t="s">
        <v>20</v>
      </c>
      <c r="F291" s="55">
        <v>0</v>
      </c>
      <c r="G291" s="55">
        <v>0</v>
      </c>
      <c r="H291" s="55">
        <v>0</v>
      </c>
      <c r="I291" s="55">
        <v>0</v>
      </c>
      <c r="J291" s="55">
        <v>0</v>
      </c>
      <c r="K291" s="55">
        <v>0</v>
      </c>
      <c r="L291" s="55">
        <v>0</v>
      </c>
      <c r="M291" s="55">
        <v>0</v>
      </c>
      <c r="N291" s="55">
        <v>0</v>
      </c>
      <c r="O291" s="55">
        <v>0</v>
      </c>
      <c r="P291" s="55">
        <v>0</v>
      </c>
      <c r="Q291" s="55">
        <v>0</v>
      </c>
      <c r="R291" s="55">
        <v>0</v>
      </c>
      <c r="S291" s="55">
        <v>0</v>
      </c>
      <c r="T291" s="55">
        <v>0</v>
      </c>
      <c r="U291" s="55">
        <v>0</v>
      </c>
      <c r="V291" s="55">
        <v>0</v>
      </c>
      <c r="W291" s="55">
        <v>0</v>
      </c>
      <c r="X291" s="55">
        <v>86.305053000000001</v>
      </c>
      <c r="Y291" s="55">
        <v>257.43098700000002</v>
      </c>
      <c r="Z291" s="55">
        <v>252.762688</v>
      </c>
      <c r="AA291" s="55">
        <v>412.70248900000001</v>
      </c>
      <c r="AB291" s="55">
        <v>520.22649799999999</v>
      </c>
      <c r="AC291" s="55">
        <v>713.50077999999996</v>
      </c>
      <c r="AD291" s="55">
        <v>778.28424700000005</v>
      </c>
      <c r="AE291" s="55">
        <v>717.58811400000002</v>
      </c>
    </row>
    <row r="292" spans="1:31" s="55" customFormat="1" x14ac:dyDescent="0.35">
      <c r="A292" s="57">
        <v>289</v>
      </c>
      <c r="B292" s="35"/>
      <c r="C292" s="35"/>
      <c r="D292" s="47" t="s">
        <v>12</v>
      </c>
      <c r="E292" s="47" t="s">
        <v>22</v>
      </c>
      <c r="F292" s="55">
        <v>0</v>
      </c>
      <c r="G292" s="55">
        <v>0</v>
      </c>
      <c r="H292" s="55">
        <v>0</v>
      </c>
      <c r="I292" s="55">
        <v>0</v>
      </c>
      <c r="J292" s="55">
        <v>0</v>
      </c>
      <c r="K292" s="55">
        <v>0</v>
      </c>
      <c r="L292" s="55">
        <v>0</v>
      </c>
      <c r="M292" s="55">
        <v>0</v>
      </c>
      <c r="N292" s="55">
        <v>0</v>
      </c>
      <c r="O292" s="55">
        <v>0</v>
      </c>
      <c r="P292" s="55">
        <v>0</v>
      </c>
      <c r="Q292" s="55">
        <v>0</v>
      </c>
      <c r="R292" s="55">
        <v>0</v>
      </c>
      <c r="S292" s="55">
        <v>0</v>
      </c>
      <c r="T292" s="55">
        <v>0</v>
      </c>
      <c r="U292" s="55">
        <v>0</v>
      </c>
      <c r="V292" s="55">
        <v>0</v>
      </c>
      <c r="W292" s="55">
        <v>0</v>
      </c>
      <c r="X292" s="55">
        <v>0</v>
      </c>
      <c r="Y292" s="55">
        <v>0</v>
      </c>
      <c r="Z292" s="55">
        <v>0</v>
      </c>
      <c r="AA292" s="55">
        <v>0</v>
      </c>
      <c r="AB292" s="55">
        <v>0</v>
      </c>
      <c r="AC292" s="55">
        <v>0</v>
      </c>
      <c r="AD292" s="55">
        <v>0</v>
      </c>
      <c r="AE292" s="55">
        <v>0</v>
      </c>
    </row>
    <row r="293" spans="1:31" s="55" customFormat="1" x14ac:dyDescent="0.35">
      <c r="A293" s="57">
        <v>290</v>
      </c>
      <c r="B293" s="35"/>
      <c r="C293" s="35"/>
      <c r="D293" s="47" t="s">
        <v>13</v>
      </c>
      <c r="E293" s="47" t="s">
        <v>23</v>
      </c>
      <c r="F293" s="55">
        <v>0</v>
      </c>
      <c r="G293" s="55">
        <v>0</v>
      </c>
      <c r="H293" s="55">
        <v>0</v>
      </c>
      <c r="I293" s="55">
        <v>0</v>
      </c>
      <c r="J293" s="55">
        <v>0</v>
      </c>
      <c r="K293" s="55">
        <v>0</v>
      </c>
      <c r="L293" s="55">
        <v>0</v>
      </c>
      <c r="M293" s="55">
        <v>0</v>
      </c>
      <c r="N293" s="55">
        <v>0</v>
      </c>
      <c r="O293" s="55">
        <v>0</v>
      </c>
      <c r="P293" s="55">
        <v>0</v>
      </c>
      <c r="Q293" s="55">
        <v>0</v>
      </c>
      <c r="R293" s="55">
        <v>0</v>
      </c>
      <c r="S293" s="55">
        <v>0</v>
      </c>
      <c r="T293" s="55">
        <v>0</v>
      </c>
      <c r="U293" s="55">
        <v>0</v>
      </c>
      <c r="V293" s="55">
        <v>0</v>
      </c>
      <c r="W293" s="55">
        <v>0</v>
      </c>
      <c r="X293" s="55">
        <v>0</v>
      </c>
      <c r="Y293" s="55">
        <v>0</v>
      </c>
      <c r="Z293" s="55">
        <v>0</v>
      </c>
      <c r="AA293" s="55">
        <v>0</v>
      </c>
      <c r="AB293" s="55">
        <v>0</v>
      </c>
      <c r="AC293" s="55">
        <v>0</v>
      </c>
      <c r="AD293" s="55">
        <v>0</v>
      </c>
      <c r="AE293" s="55">
        <v>0</v>
      </c>
    </row>
    <row r="294" spans="1:31" s="54" customFormat="1" x14ac:dyDescent="0.35">
      <c r="A294" s="57">
        <v>291</v>
      </c>
      <c r="B294" s="35"/>
      <c r="C294" s="35"/>
      <c r="D294" s="46" t="s">
        <v>1</v>
      </c>
      <c r="E294" s="46" t="s">
        <v>24</v>
      </c>
      <c r="F294" s="54">
        <v>0</v>
      </c>
      <c r="G294" s="54">
        <v>0</v>
      </c>
      <c r="H294" s="54">
        <v>0</v>
      </c>
      <c r="I294" s="54">
        <v>0</v>
      </c>
      <c r="J294" s="54">
        <v>0</v>
      </c>
      <c r="K294" s="54">
        <v>0</v>
      </c>
      <c r="L294" s="54">
        <v>0</v>
      </c>
      <c r="M294" s="54">
        <v>0</v>
      </c>
      <c r="N294" s="54">
        <v>0</v>
      </c>
      <c r="O294" s="54">
        <v>0</v>
      </c>
      <c r="P294" s="54">
        <v>0</v>
      </c>
      <c r="Q294" s="54">
        <v>0</v>
      </c>
      <c r="R294" s="54">
        <v>0</v>
      </c>
      <c r="S294" s="54">
        <v>0</v>
      </c>
      <c r="T294" s="54">
        <v>0</v>
      </c>
      <c r="U294" s="54">
        <v>0</v>
      </c>
      <c r="V294" s="54">
        <v>0</v>
      </c>
      <c r="W294" s="54">
        <v>0</v>
      </c>
      <c r="X294" s="54">
        <v>0</v>
      </c>
      <c r="Y294" s="54">
        <v>0</v>
      </c>
      <c r="Z294" s="54">
        <v>0</v>
      </c>
      <c r="AA294" s="54">
        <v>0</v>
      </c>
      <c r="AB294" s="54">
        <v>0</v>
      </c>
      <c r="AC294" s="54">
        <v>0</v>
      </c>
      <c r="AD294" s="54">
        <v>0</v>
      </c>
      <c r="AE294" s="54">
        <v>0</v>
      </c>
    </row>
    <row r="295" spans="1:31" s="53" customFormat="1" x14ac:dyDescent="0.35">
      <c r="A295" s="57">
        <v>292</v>
      </c>
      <c r="B295" s="35"/>
      <c r="C295" s="35"/>
      <c r="D295" s="46" t="s">
        <v>25</v>
      </c>
      <c r="E295" s="46" t="s">
        <v>26</v>
      </c>
    </row>
    <row r="296" spans="1:31" s="52" customFormat="1" ht="15.5" x14ac:dyDescent="0.35">
      <c r="A296" s="57">
        <v>293</v>
      </c>
      <c r="B296" s="35"/>
      <c r="C296" s="35"/>
      <c r="D296" s="45" t="s">
        <v>15</v>
      </c>
      <c r="E296" s="45" t="s">
        <v>17</v>
      </c>
      <c r="F296" s="52">
        <v>0</v>
      </c>
      <c r="G296" s="52">
        <v>0</v>
      </c>
      <c r="H296" s="52">
        <v>0</v>
      </c>
      <c r="I296" s="52">
        <v>0</v>
      </c>
      <c r="J296" s="52">
        <v>0</v>
      </c>
      <c r="K296" s="52">
        <v>0</v>
      </c>
      <c r="L296" s="52">
        <v>0</v>
      </c>
      <c r="M296" s="52">
        <v>0</v>
      </c>
      <c r="N296" s="52">
        <v>0</v>
      </c>
      <c r="O296" s="52">
        <v>0</v>
      </c>
      <c r="P296" s="52">
        <v>0</v>
      </c>
      <c r="Q296" s="52">
        <v>0</v>
      </c>
      <c r="R296" s="52">
        <v>0</v>
      </c>
      <c r="S296" s="52">
        <v>0</v>
      </c>
      <c r="T296" s="52">
        <v>0</v>
      </c>
      <c r="U296" s="52">
        <v>0</v>
      </c>
      <c r="V296" s="52">
        <v>0</v>
      </c>
      <c r="W296" s="52">
        <v>0</v>
      </c>
      <c r="X296" s="52">
        <v>0</v>
      </c>
      <c r="Y296" s="52">
        <v>0</v>
      </c>
      <c r="Z296" s="52">
        <v>0</v>
      </c>
      <c r="AA296" s="52">
        <v>0</v>
      </c>
      <c r="AB296" s="52">
        <v>0</v>
      </c>
      <c r="AC296" s="52">
        <v>0</v>
      </c>
      <c r="AD296" s="52">
        <v>0</v>
      </c>
      <c r="AE296" s="52">
        <v>0</v>
      </c>
    </row>
    <row r="297" spans="1:31" s="51" customFormat="1" ht="17.25" customHeight="1" x14ac:dyDescent="0.35">
      <c r="A297" s="57">
        <v>294</v>
      </c>
      <c r="B297" s="35"/>
      <c r="C297" s="35"/>
      <c r="D297" s="49"/>
      <c r="E297" s="49"/>
      <c r="F297" s="51">
        <v>0</v>
      </c>
      <c r="G297" s="51">
        <v>0</v>
      </c>
      <c r="H297" s="51">
        <v>0</v>
      </c>
      <c r="I297" s="51">
        <v>0</v>
      </c>
      <c r="J297" s="51">
        <v>0</v>
      </c>
      <c r="K297" s="51">
        <v>0</v>
      </c>
      <c r="L297" s="51">
        <v>0</v>
      </c>
      <c r="M297" s="51">
        <v>0</v>
      </c>
      <c r="N297" s="51">
        <v>0</v>
      </c>
      <c r="O297" s="51">
        <v>0</v>
      </c>
      <c r="P297" s="51">
        <v>0</v>
      </c>
      <c r="Q297" s="51">
        <v>0</v>
      </c>
      <c r="R297" s="51">
        <v>0</v>
      </c>
      <c r="S297" s="51">
        <v>0</v>
      </c>
      <c r="T297" s="51">
        <v>0</v>
      </c>
      <c r="U297" s="51">
        <v>0</v>
      </c>
      <c r="V297" s="51">
        <v>0</v>
      </c>
      <c r="W297" s="51">
        <v>0</v>
      </c>
      <c r="X297" s="51">
        <v>0</v>
      </c>
      <c r="Y297" s="51">
        <v>0</v>
      </c>
      <c r="Z297" s="51">
        <v>0</v>
      </c>
      <c r="AA297" s="51">
        <v>0</v>
      </c>
      <c r="AB297" s="51">
        <v>0</v>
      </c>
      <c r="AC297" s="51">
        <v>0</v>
      </c>
      <c r="AD297" s="51">
        <v>0</v>
      </c>
      <c r="AE297" s="51">
        <v>0</v>
      </c>
    </row>
    <row r="298" spans="1:31" s="56" customFormat="1" ht="26.15" customHeight="1" x14ac:dyDescent="0.45">
      <c r="A298" s="57">
        <v>295</v>
      </c>
      <c r="B298" s="42"/>
      <c r="C298" s="44" t="s">
        <v>2</v>
      </c>
      <c r="D298" s="44"/>
      <c r="E298" s="35"/>
    </row>
    <row r="299" spans="1:31" s="52" customFormat="1" ht="18" customHeight="1" x14ac:dyDescent="0.35">
      <c r="A299" s="57">
        <v>296</v>
      </c>
      <c r="B299" s="35"/>
      <c r="C299" s="35"/>
      <c r="D299" s="45" t="s">
        <v>9</v>
      </c>
      <c r="E299" s="45" t="s">
        <v>30</v>
      </c>
      <c r="F299" s="52">
        <f t="shared" ref="F299:K299" si="526">F300+F301+F305+F306</f>
        <v>153.03196200000002</v>
      </c>
      <c r="G299" s="52">
        <f t="shared" si="526"/>
        <v>393.24539900000002</v>
      </c>
      <c r="H299" s="52">
        <f t="shared" si="526"/>
        <v>387.497612</v>
      </c>
      <c r="I299" s="52">
        <f t="shared" si="526"/>
        <v>271.70414399999999</v>
      </c>
      <c r="J299" s="52">
        <f t="shared" si="526"/>
        <v>348.02484700000002</v>
      </c>
      <c r="K299" s="52">
        <f t="shared" si="526"/>
        <v>358.472532</v>
      </c>
      <c r="L299" s="52">
        <f t="shared" ref="L299" si="527">L300+L301+L305+L306</f>
        <v>337.593456</v>
      </c>
      <c r="M299" s="52">
        <f t="shared" ref="M299" si="528">M300+M301+M305+M306</f>
        <v>469.151297</v>
      </c>
      <c r="N299" s="52">
        <f t="shared" ref="N299" si="529">N300+N301+N305+N306</f>
        <v>316.32026099999996</v>
      </c>
      <c r="O299" s="52">
        <f t="shared" ref="O299" si="530">O300+O301+O305+O306</f>
        <v>375.34196199999997</v>
      </c>
      <c r="P299" s="52">
        <f t="shared" ref="P299" si="531">P300+P301+P305+P306</f>
        <v>348.06567999999999</v>
      </c>
      <c r="Q299" s="52">
        <f t="shared" ref="Q299" si="532">Q300+Q301+Q305+Q306</f>
        <v>358.54099600000001</v>
      </c>
      <c r="R299" s="52">
        <f t="shared" ref="R299" si="533">R300+R301+R305+R306</f>
        <v>381.80105300000002</v>
      </c>
      <c r="S299" s="52">
        <f t="shared" ref="S299" si="534">S300+S301+S305+S306</f>
        <v>378.49820600000004</v>
      </c>
      <c r="T299" s="52">
        <f t="shared" ref="T299" si="535">T300+T301+T305+T306</f>
        <v>361.40544400000005</v>
      </c>
      <c r="U299" s="52">
        <f t="shared" ref="U299" si="536">U300+U301+U305+U306</f>
        <v>357.95193700000004</v>
      </c>
      <c r="V299" s="52">
        <f t="shared" ref="V299" si="537">V300+V301+V305+V306</f>
        <v>349.12775699999997</v>
      </c>
      <c r="W299" s="52">
        <f t="shared" ref="W299" si="538">W300+W301+W305+W306</f>
        <v>367.00872199999998</v>
      </c>
      <c r="X299" s="52">
        <f t="shared" ref="X299" si="539">X300+X301+X305+X306</f>
        <v>330.99829299999999</v>
      </c>
      <c r="Y299" s="52">
        <f t="shared" ref="Y299" si="540">Y300+Y301+Y305+Y306</f>
        <v>308.559257</v>
      </c>
      <c r="Z299" s="52">
        <f t="shared" ref="Z299" si="541">Z300+Z301+Z305+Z306</f>
        <v>316.77303799999999</v>
      </c>
      <c r="AA299" s="52">
        <f t="shared" ref="AA299" si="542">AA300+AA301+AA305+AA306</f>
        <v>301.28603900000002</v>
      </c>
      <c r="AB299" s="52">
        <f t="shared" ref="AB299:AC299" si="543">AB300+AB301+AB305+AB306</f>
        <v>301.33799399999998</v>
      </c>
      <c r="AC299" s="52">
        <f t="shared" si="543"/>
        <v>296.18902000000003</v>
      </c>
      <c r="AD299" s="52">
        <v>308.12316600000003</v>
      </c>
      <c r="AE299" s="52">
        <v>306.84696100000002</v>
      </c>
    </row>
    <row r="300" spans="1:31" s="54" customFormat="1" x14ac:dyDescent="0.35">
      <c r="A300" s="57">
        <v>297</v>
      </c>
      <c r="B300" s="35"/>
      <c r="C300" s="35"/>
      <c r="D300" s="46" t="s">
        <v>10</v>
      </c>
      <c r="E300" s="46" t="s">
        <v>18</v>
      </c>
      <c r="F300" s="54">
        <v>0</v>
      </c>
      <c r="G300" s="54">
        <v>0</v>
      </c>
      <c r="H300" s="54">
        <v>0</v>
      </c>
      <c r="I300" s="54">
        <v>0</v>
      </c>
      <c r="J300" s="54">
        <v>0</v>
      </c>
      <c r="K300" s="54">
        <v>0</v>
      </c>
      <c r="L300" s="54">
        <v>0</v>
      </c>
      <c r="M300" s="54">
        <v>0</v>
      </c>
      <c r="N300" s="54">
        <v>0</v>
      </c>
      <c r="O300" s="54">
        <v>0</v>
      </c>
      <c r="P300" s="54">
        <v>0</v>
      </c>
      <c r="Q300" s="54">
        <v>0</v>
      </c>
      <c r="R300" s="54">
        <v>0</v>
      </c>
      <c r="S300" s="54">
        <v>0</v>
      </c>
      <c r="T300" s="54">
        <v>0</v>
      </c>
      <c r="U300" s="54">
        <v>0</v>
      </c>
      <c r="V300" s="54">
        <v>0</v>
      </c>
      <c r="W300" s="54">
        <v>0</v>
      </c>
      <c r="X300" s="54">
        <v>0</v>
      </c>
      <c r="Y300" s="54">
        <v>0</v>
      </c>
      <c r="Z300" s="54">
        <v>0</v>
      </c>
      <c r="AA300" s="54">
        <v>0</v>
      </c>
      <c r="AB300" s="54">
        <v>0</v>
      </c>
      <c r="AC300" s="54">
        <v>0</v>
      </c>
      <c r="AD300" s="54">
        <v>0</v>
      </c>
      <c r="AE300" s="54">
        <v>0</v>
      </c>
    </row>
    <row r="301" spans="1:31" s="54" customFormat="1" x14ac:dyDescent="0.35">
      <c r="A301" s="57">
        <v>298</v>
      </c>
      <c r="B301" s="35"/>
      <c r="C301" s="35"/>
      <c r="D301" s="46" t="s">
        <v>11</v>
      </c>
      <c r="E301" s="46" t="s">
        <v>0</v>
      </c>
      <c r="F301" s="54">
        <f t="shared" ref="F301:K301" si="544">SUM(F302:F304)</f>
        <v>153.03196200000002</v>
      </c>
      <c r="G301" s="54">
        <f t="shared" si="544"/>
        <v>393.24539900000002</v>
      </c>
      <c r="H301" s="54">
        <f t="shared" si="544"/>
        <v>387.497612</v>
      </c>
      <c r="I301" s="54">
        <f t="shared" si="544"/>
        <v>271.70414399999999</v>
      </c>
      <c r="J301" s="54">
        <f t="shared" si="544"/>
        <v>348.02484700000002</v>
      </c>
      <c r="K301" s="54">
        <f t="shared" si="544"/>
        <v>358.472532</v>
      </c>
      <c r="L301" s="54">
        <f t="shared" ref="L301" si="545">SUM(L302:L304)</f>
        <v>337.593456</v>
      </c>
      <c r="M301" s="54">
        <f t="shared" ref="M301" si="546">SUM(M302:M304)</f>
        <v>469.151297</v>
      </c>
      <c r="N301" s="54">
        <f t="shared" ref="N301" si="547">SUM(N302:N304)</f>
        <v>316.32026099999996</v>
      </c>
      <c r="O301" s="54">
        <f t="shared" ref="O301" si="548">SUM(O302:O304)</f>
        <v>375.34196199999997</v>
      </c>
      <c r="P301" s="54">
        <f t="shared" ref="P301" si="549">SUM(P302:P304)</f>
        <v>348.06567999999999</v>
      </c>
      <c r="Q301" s="54">
        <f t="shared" ref="Q301" si="550">SUM(Q302:Q304)</f>
        <v>358.54099600000001</v>
      </c>
      <c r="R301" s="54">
        <f t="shared" ref="R301" si="551">SUM(R302:R304)</f>
        <v>381.80105300000002</v>
      </c>
      <c r="S301" s="54">
        <f t="shared" ref="S301" si="552">SUM(S302:S304)</f>
        <v>378.49820600000004</v>
      </c>
      <c r="T301" s="54">
        <f t="shared" ref="T301" si="553">SUM(T302:T304)</f>
        <v>361.40544400000005</v>
      </c>
      <c r="U301" s="54">
        <f t="shared" ref="U301" si="554">SUM(U302:U304)</f>
        <v>357.95193700000004</v>
      </c>
      <c r="V301" s="54">
        <f t="shared" ref="V301" si="555">SUM(V302:V304)</f>
        <v>349.12775699999997</v>
      </c>
      <c r="W301" s="54">
        <f t="shared" ref="W301" si="556">SUM(W302:W304)</f>
        <v>367.00872199999998</v>
      </c>
      <c r="X301" s="54">
        <f t="shared" ref="X301" si="557">SUM(X302:X304)</f>
        <v>330.99829299999999</v>
      </c>
      <c r="Y301" s="54">
        <f t="shared" ref="Y301" si="558">SUM(Y302:Y304)</f>
        <v>308.559257</v>
      </c>
      <c r="Z301" s="54">
        <f t="shared" ref="Z301" si="559">SUM(Z302:Z304)</f>
        <v>316.77303799999999</v>
      </c>
      <c r="AA301" s="54">
        <f t="shared" ref="AA301" si="560">SUM(AA302:AA304)</f>
        <v>301.28603900000002</v>
      </c>
      <c r="AB301" s="54">
        <f t="shared" ref="AB301:AC301" si="561">SUM(AB302:AB304)</f>
        <v>301.33799399999998</v>
      </c>
      <c r="AC301" s="54">
        <f t="shared" si="561"/>
        <v>296.18902000000003</v>
      </c>
      <c r="AD301" s="54">
        <v>308.12316600000003</v>
      </c>
      <c r="AE301" s="54">
        <v>306.84696100000002</v>
      </c>
    </row>
    <row r="302" spans="1:31" s="55" customFormat="1" x14ac:dyDescent="0.35">
      <c r="A302" s="57">
        <v>299</v>
      </c>
      <c r="B302" s="35"/>
      <c r="C302" s="35"/>
      <c r="D302" s="47" t="s">
        <v>21</v>
      </c>
      <c r="E302" s="47" t="s">
        <v>20</v>
      </c>
      <c r="F302" s="55">
        <v>0</v>
      </c>
      <c r="G302" s="55">
        <v>0</v>
      </c>
      <c r="H302" s="55">
        <v>0</v>
      </c>
      <c r="I302" s="55">
        <v>0</v>
      </c>
      <c r="J302" s="55">
        <v>0</v>
      </c>
      <c r="K302" s="55">
        <v>0</v>
      </c>
      <c r="L302" s="55">
        <v>0</v>
      </c>
      <c r="M302" s="55">
        <v>0</v>
      </c>
      <c r="N302" s="55">
        <v>5.542135</v>
      </c>
      <c r="O302" s="55">
        <v>5.0858090000000002</v>
      </c>
      <c r="P302" s="55">
        <v>4.756697</v>
      </c>
      <c r="Q302" s="55">
        <v>4.027018</v>
      </c>
      <c r="R302" s="55">
        <v>3.671961</v>
      </c>
      <c r="S302" s="55">
        <v>6.6604780000000003</v>
      </c>
      <c r="T302" s="55">
        <v>6.8456089999999996</v>
      </c>
      <c r="U302" s="55">
        <v>6.7887459999999997</v>
      </c>
      <c r="V302" s="55">
        <v>6.3952</v>
      </c>
      <c r="W302" s="55">
        <v>0</v>
      </c>
      <c r="X302" s="55">
        <v>0</v>
      </c>
      <c r="Y302" s="55">
        <v>0</v>
      </c>
      <c r="Z302" s="55">
        <v>0</v>
      </c>
      <c r="AA302" s="55">
        <v>0</v>
      </c>
      <c r="AB302" s="55">
        <v>0</v>
      </c>
      <c r="AC302" s="55">
        <v>0</v>
      </c>
      <c r="AD302" s="55">
        <v>0</v>
      </c>
      <c r="AE302" s="55">
        <v>0</v>
      </c>
    </row>
    <row r="303" spans="1:31" s="55" customFormat="1" x14ac:dyDescent="0.35">
      <c r="A303" s="57">
        <v>300</v>
      </c>
      <c r="B303" s="35"/>
      <c r="C303" s="35"/>
      <c r="D303" s="47" t="s">
        <v>12</v>
      </c>
      <c r="E303" s="47" t="s">
        <v>22</v>
      </c>
      <c r="F303" s="55">
        <v>153.03196200000002</v>
      </c>
      <c r="G303" s="55">
        <v>393.24539900000002</v>
      </c>
      <c r="H303" s="55">
        <v>387.497612</v>
      </c>
      <c r="I303" s="55">
        <v>271.70414399999999</v>
      </c>
      <c r="J303" s="55">
        <v>348.02484700000002</v>
      </c>
      <c r="K303" s="55">
        <v>358.472532</v>
      </c>
      <c r="L303" s="55">
        <v>337.593456</v>
      </c>
      <c r="M303" s="55">
        <v>469.151297</v>
      </c>
      <c r="N303" s="55">
        <v>310.77812599999999</v>
      </c>
      <c r="O303" s="55">
        <v>370.25615299999998</v>
      </c>
      <c r="P303" s="55">
        <v>343.30898300000001</v>
      </c>
      <c r="Q303" s="55">
        <v>354.51397800000001</v>
      </c>
      <c r="R303" s="55">
        <v>378.12909200000001</v>
      </c>
      <c r="S303" s="55">
        <v>371.83772800000003</v>
      </c>
      <c r="T303" s="55">
        <v>354.55983500000002</v>
      </c>
      <c r="U303" s="55">
        <v>351.16319100000004</v>
      </c>
      <c r="V303" s="55">
        <v>342.73255699999999</v>
      </c>
      <c r="W303" s="55">
        <v>367.00872199999998</v>
      </c>
      <c r="X303" s="55">
        <v>330.99829299999999</v>
      </c>
      <c r="Y303" s="55">
        <v>308.559257</v>
      </c>
      <c r="Z303" s="55">
        <v>316.77303799999999</v>
      </c>
      <c r="AA303" s="55">
        <v>301.28603900000002</v>
      </c>
      <c r="AB303" s="55">
        <v>301.33799399999998</v>
      </c>
      <c r="AC303" s="55">
        <v>296.18902000000003</v>
      </c>
      <c r="AD303" s="55">
        <v>308.12316600000003</v>
      </c>
      <c r="AE303" s="55">
        <v>306.84696100000002</v>
      </c>
    </row>
    <row r="304" spans="1:31" s="55" customFormat="1" x14ac:dyDescent="0.35">
      <c r="A304" s="57">
        <v>301</v>
      </c>
      <c r="B304" s="35"/>
      <c r="C304" s="35"/>
      <c r="D304" s="47" t="s">
        <v>13</v>
      </c>
      <c r="E304" s="47" t="s">
        <v>23</v>
      </c>
      <c r="F304" s="55">
        <v>0</v>
      </c>
      <c r="G304" s="55">
        <v>0</v>
      </c>
      <c r="H304" s="55">
        <v>0</v>
      </c>
      <c r="I304" s="55">
        <v>0</v>
      </c>
      <c r="J304" s="55">
        <v>0</v>
      </c>
      <c r="K304" s="55">
        <v>0</v>
      </c>
      <c r="L304" s="55">
        <v>0</v>
      </c>
      <c r="M304" s="55">
        <v>0</v>
      </c>
      <c r="N304" s="55">
        <v>0</v>
      </c>
      <c r="O304" s="55">
        <v>0</v>
      </c>
      <c r="P304" s="55">
        <v>0</v>
      </c>
      <c r="Q304" s="55">
        <v>0</v>
      </c>
      <c r="R304" s="55">
        <v>0</v>
      </c>
      <c r="S304" s="55">
        <v>0</v>
      </c>
      <c r="T304" s="55">
        <v>0</v>
      </c>
      <c r="U304" s="55">
        <v>0</v>
      </c>
      <c r="V304" s="55">
        <v>0</v>
      </c>
      <c r="W304" s="55">
        <v>0</v>
      </c>
      <c r="X304" s="55">
        <v>0</v>
      </c>
      <c r="Y304" s="55">
        <v>0</v>
      </c>
      <c r="Z304" s="55">
        <v>0</v>
      </c>
      <c r="AA304" s="55">
        <v>0</v>
      </c>
      <c r="AB304" s="55">
        <v>0</v>
      </c>
      <c r="AC304" s="55">
        <v>0</v>
      </c>
      <c r="AD304" s="55">
        <v>0</v>
      </c>
      <c r="AE304" s="55">
        <v>0</v>
      </c>
    </row>
    <row r="305" spans="1:31" s="54" customFormat="1" x14ac:dyDescent="0.35">
      <c r="A305" s="57">
        <v>302</v>
      </c>
      <c r="B305" s="35"/>
      <c r="C305" s="35"/>
      <c r="D305" s="46" t="s">
        <v>1</v>
      </c>
      <c r="E305" s="46" t="s">
        <v>24</v>
      </c>
      <c r="F305" s="54">
        <v>0</v>
      </c>
      <c r="G305" s="54">
        <v>0</v>
      </c>
      <c r="H305" s="54">
        <v>0</v>
      </c>
      <c r="I305" s="54">
        <v>0</v>
      </c>
      <c r="J305" s="54">
        <v>0</v>
      </c>
      <c r="K305" s="54">
        <v>0</v>
      </c>
      <c r="L305" s="54">
        <v>0</v>
      </c>
      <c r="M305" s="54">
        <v>0</v>
      </c>
      <c r="N305" s="54">
        <v>0</v>
      </c>
      <c r="O305" s="54">
        <v>0</v>
      </c>
      <c r="P305" s="54">
        <v>0</v>
      </c>
      <c r="Q305" s="54">
        <v>0</v>
      </c>
      <c r="R305" s="54">
        <v>0</v>
      </c>
      <c r="S305" s="54">
        <v>0</v>
      </c>
      <c r="T305" s="54">
        <v>0</v>
      </c>
      <c r="U305" s="54">
        <v>0</v>
      </c>
      <c r="V305" s="54">
        <v>0</v>
      </c>
      <c r="W305" s="54">
        <v>0</v>
      </c>
      <c r="X305" s="54">
        <v>0</v>
      </c>
      <c r="Y305" s="54">
        <v>0</v>
      </c>
      <c r="Z305" s="54">
        <v>0</v>
      </c>
      <c r="AA305" s="54">
        <v>0</v>
      </c>
      <c r="AB305" s="54">
        <v>0</v>
      </c>
      <c r="AC305" s="54">
        <v>0</v>
      </c>
      <c r="AD305" s="54">
        <v>0</v>
      </c>
      <c r="AE305" s="54">
        <v>0</v>
      </c>
    </row>
    <row r="306" spans="1:31" s="53" customFormat="1" x14ac:dyDescent="0.35">
      <c r="A306" s="57">
        <v>303</v>
      </c>
      <c r="B306" s="35"/>
      <c r="C306" s="35"/>
      <c r="D306" s="46" t="s">
        <v>25</v>
      </c>
      <c r="E306" s="46" t="s">
        <v>26</v>
      </c>
    </row>
    <row r="307" spans="1:31" s="52" customFormat="1" ht="15.5" x14ac:dyDescent="0.35">
      <c r="A307" s="57">
        <v>304</v>
      </c>
      <c r="B307" s="35"/>
      <c r="C307" s="35"/>
      <c r="D307" s="45" t="s">
        <v>15</v>
      </c>
      <c r="E307" s="45" t="s">
        <v>17</v>
      </c>
      <c r="F307" s="52">
        <v>0</v>
      </c>
      <c r="G307" s="52">
        <v>0</v>
      </c>
      <c r="H307" s="52">
        <v>0</v>
      </c>
      <c r="I307" s="52">
        <v>0</v>
      </c>
      <c r="J307" s="52">
        <v>0</v>
      </c>
      <c r="K307" s="52">
        <v>0</v>
      </c>
      <c r="L307" s="52">
        <v>0</v>
      </c>
      <c r="M307" s="52">
        <v>0</v>
      </c>
      <c r="N307" s="52">
        <v>0</v>
      </c>
      <c r="O307" s="52">
        <v>0</v>
      </c>
      <c r="P307" s="52">
        <v>0</v>
      </c>
      <c r="Q307" s="52">
        <v>0</v>
      </c>
      <c r="R307" s="52">
        <v>0</v>
      </c>
      <c r="S307" s="52">
        <v>0</v>
      </c>
      <c r="T307" s="52">
        <v>0</v>
      </c>
      <c r="U307" s="52">
        <v>0</v>
      </c>
      <c r="V307" s="52">
        <v>0</v>
      </c>
      <c r="W307" s="52">
        <v>0</v>
      </c>
      <c r="X307" s="52">
        <v>0</v>
      </c>
      <c r="Y307" s="52">
        <v>0</v>
      </c>
      <c r="Z307" s="52">
        <v>0</v>
      </c>
      <c r="AA307" s="52">
        <v>0</v>
      </c>
      <c r="AB307" s="52">
        <v>0</v>
      </c>
      <c r="AC307" s="52">
        <v>0</v>
      </c>
      <c r="AD307" s="52">
        <v>0</v>
      </c>
      <c r="AE307" s="52">
        <v>0</v>
      </c>
    </row>
    <row r="308" spans="1:31" s="51" customFormat="1" ht="9" customHeight="1" x14ac:dyDescent="0.35">
      <c r="A308" s="57">
        <v>305</v>
      </c>
      <c r="B308" s="35"/>
      <c r="C308" s="35"/>
      <c r="D308" s="49"/>
      <c r="E308" s="49"/>
      <c r="F308" s="51">
        <v>0</v>
      </c>
      <c r="G308" s="51">
        <v>0</v>
      </c>
      <c r="H308" s="51">
        <v>0</v>
      </c>
      <c r="I308" s="51">
        <v>0</v>
      </c>
      <c r="J308" s="51">
        <v>0</v>
      </c>
      <c r="K308" s="51">
        <v>0</v>
      </c>
      <c r="L308" s="51">
        <v>0</v>
      </c>
      <c r="M308" s="51">
        <v>0</v>
      </c>
      <c r="N308" s="51">
        <v>0</v>
      </c>
      <c r="O308" s="51">
        <v>0</v>
      </c>
      <c r="P308" s="51">
        <v>0</v>
      </c>
      <c r="Q308" s="51">
        <v>0</v>
      </c>
      <c r="R308" s="51">
        <v>0</v>
      </c>
      <c r="S308" s="51">
        <v>0</v>
      </c>
      <c r="T308" s="51">
        <v>0</v>
      </c>
      <c r="U308" s="51">
        <v>0</v>
      </c>
      <c r="V308" s="51">
        <v>0</v>
      </c>
      <c r="W308" s="51">
        <v>0</v>
      </c>
      <c r="X308" s="51">
        <v>0</v>
      </c>
      <c r="Y308" s="51">
        <v>0</v>
      </c>
      <c r="Z308" s="51">
        <v>0</v>
      </c>
      <c r="AA308" s="51">
        <v>0</v>
      </c>
      <c r="AB308" s="51">
        <v>0</v>
      </c>
      <c r="AC308" s="51">
        <v>0</v>
      </c>
      <c r="AD308" s="51">
        <v>0</v>
      </c>
      <c r="AE308" s="51">
        <v>0</v>
      </c>
    </row>
    <row r="309" spans="1:31" s="56" customFormat="1" ht="26.15" customHeight="1" x14ac:dyDescent="0.45">
      <c r="A309" s="57">
        <v>306</v>
      </c>
      <c r="B309" s="42"/>
      <c r="C309" s="44" t="s">
        <v>19</v>
      </c>
      <c r="D309" s="44"/>
      <c r="E309" s="35"/>
    </row>
    <row r="310" spans="1:31" s="52" customFormat="1" ht="18" customHeight="1" x14ac:dyDescent="0.35">
      <c r="A310" s="57">
        <v>307</v>
      </c>
      <c r="B310" s="35"/>
      <c r="C310" s="35"/>
      <c r="D310" s="45" t="s">
        <v>9</v>
      </c>
      <c r="E310" s="45" t="s">
        <v>30</v>
      </c>
      <c r="F310" s="52">
        <f t="shared" ref="F310:K310" si="562">F311+F312+F316+F317</f>
        <v>50788.319440030391</v>
      </c>
      <c r="G310" s="52">
        <f t="shared" si="562"/>
        <v>56378.980221364982</v>
      </c>
      <c r="H310" s="52">
        <f t="shared" si="562"/>
        <v>67869.743403825531</v>
      </c>
      <c r="I310" s="52">
        <f t="shared" si="562"/>
        <v>75022.417751828936</v>
      </c>
      <c r="J310" s="52">
        <f t="shared" si="562"/>
        <v>85077.418607734086</v>
      </c>
      <c r="K310" s="52">
        <f t="shared" si="562"/>
        <v>90356.169356144266</v>
      </c>
      <c r="L310" s="52">
        <f t="shared" ref="L310" si="563">L311+L312+L316+L317</f>
        <v>92954.002049614428</v>
      </c>
      <c r="M310" s="52">
        <f t="shared" ref="M310" si="564">M311+M312+M316+M317</f>
        <v>95467.324351060495</v>
      </c>
      <c r="N310" s="52">
        <f t="shared" ref="N310" si="565">N311+N312+N316+N317</f>
        <v>99859.987435563817</v>
      </c>
      <c r="O310" s="52">
        <f t="shared" ref="O310" si="566">O311+O312+O316+O317</f>
        <v>103820.09637164656</v>
      </c>
      <c r="P310" s="52">
        <f t="shared" ref="P310" si="567">P311+P312+P316+P317</f>
        <v>107291.94731298066</v>
      </c>
      <c r="Q310" s="52">
        <f t="shared" ref="Q310" si="568">Q311+Q312+Q316+Q317</f>
        <v>110722.76484119843</v>
      </c>
      <c r="R310" s="52">
        <f t="shared" ref="R310" si="569">R311+R312+R316+R317</f>
        <v>115070.21116333327</v>
      </c>
      <c r="S310" s="52">
        <f t="shared" ref="S310" si="570">S311+S312+S316+S317</f>
        <v>118756.73915964729</v>
      </c>
      <c r="T310" s="52">
        <f t="shared" ref="T310" si="571">T311+T312+T316+T317</f>
        <v>123224.11966739956</v>
      </c>
      <c r="U310" s="52">
        <f t="shared" ref="U310" si="572">U311+U312+U316+U317</f>
        <v>128679.98793520959</v>
      </c>
      <c r="V310" s="52">
        <f t="shared" ref="V310" si="573">V311+V312+V316+V317</f>
        <v>140121.50620120738</v>
      </c>
      <c r="W310" s="52">
        <f t="shared" ref="W310" si="574">W311+W312+W316+W317</f>
        <v>140717.73599119714</v>
      </c>
      <c r="X310" s="52">
        <f t="shared" ref="X310" si="575">X311+X312+X316+X317</f>
        <v>143930.28015249496</v>
      </c>
      <c r="Y310" s="52">
        <f t="shared" ref="Y310" si="576">Y311+Y312+Y316+Y317</f>
        <v>145341.83003818447</v>
      </c>
      <c r="Z310" s="52">
        <f t="shared" ref="Z310" si="577">Z311+Z312+Z316+Z317</f>
        <v>148229.08558776841</v>
      </c>
      <c r="AA310" s="52">
        <f t="shared" ref="AA310" si="578">AA311+AA312+AA316+AA317</f>
        <v>152904.87061864528</v>
      </c>
      <c r="AB310" s="52">
        <f t="shared" ref="AB310:AC310" si="579">AB311+AB312+AB316+AB317</f>
        <v>155839.68893763545</v>
      </c>
      <c r="AC310" s="52">
        <f t="shared" si="579"/>
        <v>157010.53632570175</v>
      </c>
      <c r="AD310" s="52">
        <v>159437.4428892305</v>
      </c>
      <c r="AE310" s="52">
        <v>162073.50928461921</v>
      </c>
    </row>
    <row r="311" spans="1:31" s="55" customFormat="1" x14ac:dyDescent="0.35">
      <c r="A311" s="57">
        <v>308</v>
      </c>
      <c r="B311" s="35"/>
      <c r="C311" s="35"/>
      <c r="D311" s="46" t="s">
        <v>10</v>
      </c>
      <c r="E311" s="46" t="s">
        <v>18</v>
      </c>
      <c r="F311" s="55">
        <v>44294.878958243105</v>
      </c>
      <c r="G311" s="55">
        <v>48877.968603197245</v>
      </c>
      <c r="H311" s="55">
        <v>59488.092068999416</v>
      </c>
      <c r="I311" s="55">
        <v>66423.868558522139</v>
      </c>
      <c r="J311" s="55">
        <v>76220.731429009888</v>
      </c>
      <c r="K311" s="55">
        <v>81082.523818320085</v>
      </c>
      <c r="L311" s="55">
        <v>83298.560961905343</v>
      </c>
      <c r="M311" s="55">
        <v>85465.573646598248</v>
      </c>
      <c r="N311" s="55">
        <v>89208.589724586374</v>
      </c>
      <c r="O311" s="55">
        <v>93057.651325571176</v>
      </c>
      <c r="P311" s="55">
        <v>96218.745110958203</v>
      </c>
      <c r="Q311" s="55">
        <v>99331.999217011849</v>
      </c>
      <c r="R311" s="55">
        <v>103418.80272820329</v>
      </c>
      <c r="S311" s="55">
        <v>107000.98192290873</v>
      </c>
      <c r="T311" s="55">
        <v>111146.77695932084</v>
      </c>
      <c r="U311" s="55">
        <v>116081.56730854997</v>
      </c>
      <c r="V311" s="55">
        <v>126806.20074330652</v>
      </c>
      <c r="W311" s="55">
        <v>127216.26731322682</v>
      </c>
      <c r="X311" s="55">
        <v>130203.68645738903</v>
      </c>
      <c r="Y311" s="55">
        <v>131285.55903831538</v>
      </c>
      <c r="Z311" s="55">
        <v>133757.66392066216</v>
      </c>
      <c r="AA311" s="55">
        <v>138012.02432540874</v>
      </c>
      <c r="AB311" s="55">
        <v>141285.68887451151</v>
      </c>
      <c r="AC311" s="55">
        <v>142116.33319532764</v>
      </c>
      <c r="AD311" s="55">
        <v>144265.55986387149</v>
      </c>
      <c r="AE311" s="55">
        <v>146346.2186652747</v>
      </c>
    </row>
    <row r="312" spans="1:31" s="54" customFormat="1" x14ac:dyDescent="0.35">
      <c r="A312" s="57">
        <v>309</v>
      </c>
      <c r="B312" s="35"/>
      <c r="C312" s="35"/>
      <c r="D312" s="46" t="s">
        <v>11</v>
      </c>
      <c r="E312" s="46" t="s">
        <v>0</v>
      </c>
      <c r="F312" s="54">
        <f t="shared" ref="F312:K312" si="580">SUM(F313:F315)</f>
        <v>6493.4404817872819</v>
      </c>
      <c r="G312" s="54">
        <f t="shared" si="580"/>
        <v>7501.0116181677349</v>
      </c>
      <c r="H312" s="54">
        <f t="shared" si="580"/>
        <v>8381.6513348261215</v>
      </c>
      <c r="I312" s="54">
        <f t="shared" si="580"/>
        <v>8598.5491933068006</v>
      </c>
      <c r="J312" s="54">
        <f t="shared" si="580"/>
        <v>8856.6871787241926</v>
      </c>
      <c r="K312" s="54">
        <f t="shared" si="580"/>
        <v>9273.6455378241772</v>
      </c>
      <c r="L312" s="54">
        <f t="shared" ref="L312" si="581">SUM(L313:L315)</f>
        <v>9655.4410877090886</v>
      </c>
      <c r="M312" s="54">
        <f t="shared" ref="M312" si="582">SUM(M313:M315)</f>
        <v>10001.75070446224</v>
      </c>
      <c r="N312" s="54">
        <f t="shared" ref="N312" si="583">SUM(N313:N315)</f>
        <v>10651.397710977441</v>
      </c>
      <c r="O312" s="54">
        <f t="shared" ref="O312" si="584">SUM(O313:O315)</f>
        <v>10762.445046075392</v>
      </c>
      <c r="P312" s="54">
        <f t="shared" ref="P312" si="585">SUM(P313:P315)</f>
        <v>11073.20220202245</v>
      </c>
      <c r="Q312" s="54">
        <f t="shared" ref="Q312" si="586">SUM(Q313:Q315)</f>
        <v>11390.765624186579</v>
      </c>
      <c r="R312" s="54">
        <f t="shared" ref="R312" si="587">SUM(R313:R315)</f>
        <v>11651.408435129986</v>
      </c>
      <c r="S312" s="54">
        <f t="shared" ref="S312" si="588">SUM(S313:S315)</f>
        <v>11755.757236738555</v>
      </c>
      <c r="T312" s="54">
        <f t="shared" ref="T312" si="589">SUM(T313:T315)</f>
        <v>12077.342708078717</v>
      </c>
      <c r="U312" s="54">
        <f t="shared" ref="U312" si="590">SUM(U313:U315)</f>
        <v>12598.420626659623</v>
      </c>
      <c r="V312" s="54">
        <f t="shared" ref="V312" si="591">SUM(V313:V315)</f>
        <v>13315.305457900873</v>
      </c>
      <c r="W312" s="54">
        <f t="shared" ref="W312" si="592">SUM(W313:W315)</f>
        <v>13501.46867797031</v>
      </c>
      <c r="X312" s="54">
        <f t="shared" ref="X312" si="593">SUM(X313:X315)</f>
        <v>13726.593695105941</v>
      </c>
      <c r="Y312" s="54">
        <f t="shared" ref="Y312" si="594">SUM(Y313:Y315)</f>
        <v>14056.270999869093</v>
      </c>
      <c r="Z312" s="54">
        <f t="shared" ref="Z312" si="595">SUM(Z313:Z315)</f>
        <v>14471.421667106259</v>
      </c>
      <c r="AA312" s="54">
        <f t="shared" ref="AA312" si="596">SUM(AA313:AA315)</f>
        <v>14892.846293236538</v>
      </c>
      <c r="AB312" s="54">
        <f t="shared" ref="AB312:AC312" si="597">SUM(AB313:AB315)</f>
        <v>14554.000063123927</v>
      </c>
      <c r="AC312" s="54">
        <f t="shared" si="597"/>
        <v>14894.203130374117</v>
      </c>
      <c r="AD312" s="54">
        <v>15171.883025359009</v>
      </c>
      <c r="AE312" s="54">
        <v>15727.290619344498</v>
      </c>
    </row>
    <row r="313" spans="1:31" s="55" customFormat="1" x14ac:dyDescent="0.35">
      <c r="A313" s="57">
        <v>310</v>
      </c>
      <c r="B313" s="35"/>
      <c r="C313" s="35"/>
      <c r="D313" s="47" t="s">
        <v>21</v>
      </c>
      <c r="E313" s="47" t="s">
        <v>20</v>
      </c>
      <c r="F313" s="55">
        <v>6399.3336112649231</v>
      </c>
      <c r="G313" s="55">
        <v>7379.4275906480889</v>
      </c>
      <c r="H313" s="55">
        <v>8237.8530537194929</v>
      </c>
      <c r="I313" s="55">
        <v>7890.0665195341653</v>
      </c>
      <c r="J313" s="55">
        <v>7783.4906807398302</v>
      </c>
      <c r="K313" s="55">
        <v>7998.9027958162442</v>
      </c>
      <c r="L313" s="55">
        <v>8145.809172038511</v>
      </c>
      <c r="M313" s="55">
        <v>8307.2750465692061</v>
      </c>
      <c r="N313" s="55">
        <v>8802.7863928690749</v>
      </c>
      <c r="O313" s="55">
        <v>8905.9084913995957</v>
      </c>
      <c r="P313" s="55">
        <v>9049.7842815109689</v>
      </c>
      <c r="Q313" s="55">
        <v>9158.2289122539951</v>
      </c>
      <c r="R313" s="55">
        <v>9390.6669552644544</v>
      </c>
      <c r="S313" s="55">
        <v>9492.9149035557439</v>
      </c>
      <c r="T313" s="55">
        <v>9834.0944650623351</v>
      </c>
      <c r="U313" s="55">
        <v>10143.249829193817</v>
      </c>
      <c r="V313" s="55">
        <v>10583.694898297124</v>
      </c>
      <c r="W313" s="55">
        <v>10772.228151199291</v>
      </c>
      <c r="X313" s="55">
        <v>10808.494808797925</v>
      </c>
      <c r="Y313" s="55">
        <v>11059.423565364055</v>
      </c>
      <c r="Z313" s="55">
        <v>11226.748410036818</v>
      </c>
      <c r="AA313" s="55">
        <v>11385.558010036819</v>
      </c>
      <c r="AB313" s="55">
        <v>11150.314150882714</v>
      </c>
      <c r="AC313" s="55">
        <v>11459.78450777828</v>
      </c>
      <c r="AD313" s="55">
        <v>11730.207933492653</v>
      </c>
      <c r="AE313" s="55">
        <v>12160.379929068309</v>
      </c>
    </row>
    <row r="314" spans="1:31" s="55" customFormat="1" x14ac:dyDescent="0.35">
      <c r="A314" s="57">
        <v>311</v>
      </c>
      <c r="B314" s="35"/>
      <c r="C314" s="35"/>
      <c r="D314" s="47" t="s">
        <v>12</v>
      </c>
      <c r="E314" s="47" t="s">
        <v>22</v>
      </c>
      <c r="F314" s="55">
        <v>0</v>
      </c>
      <c r="G314" s="55">
        <v>0</v>
      </c>
      <c r="H314" s="55">
        <v>0</v>
      </c>
      <c r="I314" s="55">
        <v>522.45280140273132</v>
      </c>
      <c r="J314" s="55">
        <v>922.75919301690885</v>
      </c>
      <c r="K314" s="55">
        <v>1102.7869685185894</v>
      </c>
      <c r="L314" s="55">
        <v>1327.9158930459953</v>
      </c>
      <c r="M314" s="55">
        <v>1497.4308500088227</v>
      </c>
      <c r="N314" s="55">
        <v>1648.6389098033014</v>
      </c>
      <c r="O314" s="55">
        <v>1672.6457094432189</v>
      </c>
      <c r="P314" s="55">
        <v>1834.7723806683962</v>
      </c>
      <c r="Q314" s="55">
        <v>1956.2812070516241</v>
      </c>
      <c r="R314" s="55">
        <v>1985.1009745871559</v>
      </c>
      <c r="S314" s="55">
        <v>1972.722082890675</v>
      </c>
      <c r="T314" s="55">
        <v>2025.748102615762</v>
      </c>
      <c r="U314" s="55">
        <v>2229.0111695963046</v>
      </c>
      <c r="V314" s="55">
        <v>2342.8081531787334</v>
      </c>
      <c r="W314" s="55">
        <v>2337.9695926675818</v>
      </c>
      <c r="X314" s="55">
        <v>2469.7768408926154</v>
      </c>
      <c r="Y314" s="55">
        <v>2518.4951784891186</v>
      </c>
      <c r="Z314" s="55">
        <v>2773.4676936831715</v>
      </c>
      <c r="AA314" s="55">
        <v>3023.0878838368035</v>
      </c>
      <c r="AB314" s="55">
        <v>2894.2270638856717</v>
      </c>
      <c r="AC314" s="55">
        <v>2908.2310640198634</v>
      </c>
      <c r="AD314" s="55">
        <v>2898.3798705071549</v>
      </c>
      <c r="AE314" s="55">
        <v>3016.7298867543968</v>
      </c>
    </row>
    <row r="315" spans="1:31" s="55" customFormat="1" x14ac:dyDescent="0.35">
      <c r="A315" s="57">
        <v>312</v>
      </c>
      <c r="B315" s="35"/>
      <c r="C315" s="35"/>
      <c r="D315" s="47" t="s">
        <v>13</v>
      </c>
      <c r="E315" s="47" t="s">
        <v>23</v>
      </c>
      <c r="F315" s="55">
        <v>94.106870522358633</v>
      </c>
      <c r="G315" s="55">
        <v>121.5840275196459</v>
      </c>
      <c r="H315" s="55">
        <v>143.79828110662913</v>
      </c>
      <c r="I315" s="55">
        <v>186.02987236990268</v>
      </c>
      <c r="J315" s="55">
        <v>150.4373049674538</v>
      </c>
      <c r="K315" s="55">
        <v>171.95577348934447</v>
      </c>
      <c r="L315" s="55">
        <v>181.71602262458342</v>
      </c>
      <c r="M315" s="55">
        <v>197.04480788421085</v>
      </c>
      <c r="N315" s="55">
        <v>199.97240830506439</v>
      </c>
      <c r="O315" s="55">
        <v>183.89084523257699</v>
      </c>
      <c r="P315" s="55">
        <v>188.64553984308461</v>
      </c>
      <c r="Q315" s="55">
        <v>276.25550488095968</v>
      </c>
      <c r="R315" s="55">
        <v>275.6405052783756</v>
      </c>
      <c r="S315" s="55">
        <v>290.12025029213487</v>
      </c>
      <c r="T315" s="55">
        <v>217.50014040061899</v>
      </c>
      <c r="U315" s="55">
        <v>226.15962786950104</v>
      </c>
      <c r="V315" s="55">
        <v>388.802406425014</v>
      </c>
      <c r="W315" s="55">
        <v>391.27093410343736</v>
      </c>
      <c r="X315" s="55">
        <v>448.32204541540074</v>
      </c>
      <c r="Y315" s="55">
        <v>478.35225601591975</v>
      </c>
      <c r="Z315" s="55">
        <v>471.20556338626864</v>
      </c>
      <c r="AA315" s="55">
        <v>484.20039936291641</v>
      </c>
      <c r="AB315" s="55">
        <v>509.45884835554091</v>
      </c>
      <c r="AC315" s="55">
        <v>526.18755857597387</v>
      </c>
      <c r="AD315" s="55">
        <v>543.29522135920104</v>
      </c>
      <c r="AE315" s="55">
        <v>550.18080352179118</v>
      </c>
    </row>
    <row r="316" spans="1:31" s="54" customFormat="1" x14ac:dyDescent="0.35">
      <c r="A316" s="57">
        <v>313</v>
      </c>
      <c r="B316" s="35"/>
      <c r="C316" s="35"/>
      <c r="D316" s="46" t="s">
        <v>1</v>
      </c>
      <c r="E316" s="46" t="s">
        <v>24</v>
      </c>
      <c r="F316" s="54">
        <v>0</v>
      </c>
      <c r="G316" s="54">
        <v>0</v>
      </c>
      <c r="H316" s="54">
        <v>0</v>
      </c>
      <c r="I316" s="54">
        <v>0</v>
      </c>
      <c r="J316" s="54">
        <v>0</v>
      </c>
      <c r="K316" s="54">
        <v>0</v>
      </c>
      <c r="L316" s="54">
        <v>0</v>
      </c>
      <c r="M316" s="54">
        <v>0</v>
      </c>
      <c r="N316" s="54">
        <v>0</v>
      </c>
      <c r="O316" s="54">
        <v>0</v>
      </c>
      <c r="P316" s="54">
        <v>0</v>
      </c>
      <c r="Q316" s="54">
        <v>0</v>
      </c>
      <c r="R316" s="54">
        <v>0</v>
      </c>
      <c r="S316" s="54">
        <v>0</v>
      </c>
      <c r="T316" s="54">
        <v>0</v>
      </c>
      <c r="U316" s="54">
        <v>0</v>
      </c>
      <c r="V316" s="54">
        <v>0</v>
      </c>
      <c r="W316" s="54">
        <v>0</v>
      </c>
      <c r="X316" s="54">
        <v>0</v>
      </c>
      <c r="Y316" s="54">
        <v>0</v>
      </c>
      <c r="Z316" s="54">
        <v>0</v>
      </c>
      <c r="AA316" s="54">
        <v>0</v>
      </c>
      <c r="AB316" s="54">
        <v>0</v>
      </c>
      <c r="AC316" s="54">
        <v>0</v>
      </c>
      <c r="AD316" s="54">
        <v>0</v>
      </c>
      <c r="AE316" s="54">
        <v>0</v>
      </c>
    </row>
    <row r="317" spans="1:31" s="53" customFormat="1" x14ac:dyDescent="0.35">
      <c r="A317" s="57">
        <v>314</v>
      </c>
      <c r="B317" s="35"/>
      <c r="C317" s="35"/>
      <c r="D317" s="46" t="s">
        <v>25</v>
      </c>
      <c r="E317" s="46" t="s">
        <v>26</v>
      </c>
    </row>
    <row r="318" spans="1:31" s="52" customFormat="1" ht="15.5" x14ac:dyDescent="0.35">
      <c r="A318" s="57">
        <v>315</v>
      </c>
      <c r="B318" s="35"/>
      <c r="C318" s="35"/>
      <c r="D318" s="45" t="s">
        <v>15</v>
      </c>
      <c r="E318" s="45" t="s">
        <v>17</v>
      </c>
      <c r="F318" s="52">
        <v>0</v>
      </c>
      <c r="G318" s="52">
        <v>0</v>
      </c>
      <c r="H318" s="52">
        <v>0</v>
      </c>
      <c r="I318" s="52">
        <v>0</v>
      </c>
      <c r="J318" s="52">
        <v>0</v>
      </c>
      <c r="K318" s="52">
        <v>0</v>
      </c>
      <c r="L318" s="52">
        <v>0</v>
      </c>
      <c r="M318" s="52">
        <v>0</v>
      </c>
      <c r="N318" s="52">
        <v>0</v>
      </c>
      <c r="O318" s="52">
        <v>0</v>
      </c>
      <c r="P318" s="52">
        <v>0</v>
      </c>
      <c r="Q318" s="52">
        <v>0</v>
      </c>
      <c r="R318" s="52">
        <v>0</v>
      </c>
      <c r="S318" s="52">
        <v>0</v>
      </c>
      <c r="T318" s="52">
        <v>0</v>
      </c>
      <c r="U318" s="52">
        <v>0</v>
      </c>
      <c r="V318" s="52">
        <v>0</v>
      </c>
      <c r="W318" s="52">
        <v>0</v>
      </c>
      <c r="X318" s="52">
        <v>0</v>
      </c>
      <c r="Y318" s="52">
        <v>0</v>
      </c>
      <c r="Z318" s="52">
        <v>0</v>
      </c>
      <c r="AA318" s="52">
        <v>0</v>
      </c>
      <c r="AB318" s="52">
        <v>0</v>
      </c>
      <c r="AC318" s="52">
        <v>0</v>
      </c>
      <c r="AD318" s="52">
        <v>0</v>
      </c>
      <c r="AE318" s="52">
        <v>0</v>
      </c>
    </row>
    <row r="319" spans="1:31" s="51" customFormat="1" ht="9" customHeight="1" x14ac:dyDescent="0.35">
      <c r="A319" s="98">
        <v>316</v>
      </c>
      <c r="B319" s="35"/>
      <c r="C319" s="35"/>
      <c r="D319" s="49"/>
      <c r="E319" s="49"/>
      <c r="F319" s="51">
        <v>0</v>
      </c>
      <c r="G319" s="51">
        <v>0</v>
      </c>
      <c r="H319" s="51">
        <v>0</v>
      </c>
      <c r="I319" s="51">
        <v>0</v>
      </c>
      <c r="J319" s="51">
        <v>0</v>
      </c>
      <c r="K319" s="51">
        <v>0</v>
      </c>
      <c r="L319" s="51">
        <v>0</v>
      </c>
      <c r="M319" s="51">
        <v>0</v>
      </c>
      <c r="N319" s="51">
        <v>0</v>
      </c>
      <c r="O319" s="51">
        <v>0</v>
      </c>
      <c r="P319" s="51">
        <v>0</v>
      </c>
      <c r="Q319" s="51">
        <v>0</v>
      </c>
      <c r="R319" s="51">
        <v>0</v>
      </c>
      <c r="S319" s="51">
        <v>0</v>
      </c>
      <c r="T319" s="51">
        <v>0</v>
      </c>
      <c r="Z319" s="51">
        <v>0</v>
      </c>
      <c r="AA319" s="51">
        <v>0</v>
      </c>
      <c r="AB319" s="51">
        <v>0</v>
      </c>
      <c r="AC319" s="51">
        <v>0</v>
      </c>
      <c r="AD319" s="51">
        <v>0</v>
      </c>
      <c r="AE319" s="51">
        <v>0</v>
      </c>
    </row>
    <row r="320" spans="1:31" x14ac:dyDescent="0.35">
      <c r="U320" s="100"/>
      <c r="V320" s="100"/>
      <c r="W320" s="100"/>
      <c r="X320" s="100"/>
      <c r="Y320" s="100"/>
      <c r="AA320" s="100"/>
      <c r="AB320" s="100"/>
      <c r="AC320" s="100"/>
      <c r="AE320" s="100"/>
    </row>
  </sheetData>
  <conditionalFormatting sqref="F16:XFD16">
    <cfRule type="cellIs" dxfId="46" priority="138" operator="notEqual">
      <formula>0</formula>
    </cfRule>
  </conditionalFormatting>
  <conditionalFormatting sqref="F27:XFD27">
    <cfRule type="cellIs" dxfId="45" priority="137" operator="notEqual">
      <formula>0</formula>
    </cfRule>
  </conditionalFormatting>
  <conditionalFormatting sqref="F38:XFD38">
    <cfRule type="cellIs" dxfId="44" priority="136" operator="notEqual">
      <formula>0</formula>
    </cfRule>
  </conditionalFormatting>
  <conditionalFormatting sqref="F49:XFD49">
    <cfRule type="cellIs" dxfId="43" priority="135" operator="notEqual">
      <formula>0</formula>
    </cfRule>
  </conditionalFormatting>
  <conditionalFormatting sqref="F61:XFD62">
    <cfRule type="cellIs" dxfId="42" priority="4" operator="notEqual">
      <formula>0</formula>
    </cfRule>
  </conditionalFormatting>
  <conditionalFormatting sqref="F72:XFD73">
    <cfRule type="cellIs" dxfId="41" priority="3" operator="notEqual">
      <formula>0</formula>
    </cfRule>
  </conditionalFormatting>
  <conditionalFormatting sqref="F83:XFD84">
    <cfRule type="cellIs" dxfId="40" priority="2" operator="notEqual">
      <formula>0</formula>
    </cfRule>
  </conditionalFormatting>
  <conditionalFormatting sqref="F94:XFD95">
    <cfRule type="cellIs" dxfId="39" priority="1" operator="notEqual">
      <formula>0</formula>
    </cfRule>
  </conditionalFormatting>
  <conditionalFormatting sqref="F106:XFD106">
    <cfRule type="cellIs" dxfId="38" priority="125" operator="notEqual">
      <formula>0</formula>
    </cfRule>
  </conditionalFormatting>
  <conditionalFormatting sqref="F117:XFD117">
    <cfRule type="cellIs" dxfId="37" priority="124" operator="notEqual">
      <formula>0</formula>
    </cfRule>
  </conditionalFormatting>
  <conditionalFormatting sqref="F128:XFD128">
    <cfRule type="cellIs" dxfId="36" priority="123" operator="notEqual">
      <formula>0</formula>
    </cfRule>
  </conditionalFormatting>
  <conditionalFormatting sqref="F139:XFD139">
    <cfRule type="cellIs" dxfId="35" priority="134" operator="notEqual">
      <formula>0</formula>
    </cfRule>
  </conditionalFormatting>
  <conditionalFormatting sqref="F151:XFD151">
    <cfRule type="cellIs" dxfId="34" priority="121" operator="notEqual">
      <formula>0</formula>
    </cfRule>
  </conditionalFormatting>
  <conditionalFormatting sqref="F162:XFD162">
    <cfRule type="cellIs" dxfId="33" priority="120" operator="notEqual">
      <formula>0</formula>
    </cfRule>
  </conditionalFormatting>
  <conditionalFormatting sqref="F173:XFD173">
    <cfRule type="cellIs" dxfId="32" priority="119" operator="notEqual">
      <formula>0</formula>
    </cfRule>
  </conditionalFormatting>
  <conditionalFormatting sqref="F184:XFD184">
    <cfRule type="cellIs" dxfId="31" priority="122" operator="notEqual">
      <formula>0</formula>
    </cfRule>
  </conditionalFormatting>
  <conditionalFormatting sqref="F196:XFD196">
    <cfRule type="cellIs" dxfId="30" priority="117" operator="notEqual">
      <formula>0</formula>
    </cfRule>
  </conditionalFormatting>
  <conditionalFormatting sqref="F207:XFD207">
    <cfRule type="cellIs" dxfId="29" priority="116" operator="notEqual">
      <formula>0</formula>
    </cfRule>
  </conditionalFormatting>
  <conditionalFormatting sqref="F218:XFD218">
    <cfRule type="cellIs" dxfId="28" priority="115" operator="notEqual">
      <formula>0</formula>
    </cfRule>
  </conditionalFormatting>
  <conditionalFormatting sqref="F229:XFD229">
    <cfRule type="cellIs" dxfId="27" priority="118" operator="notEqual">
      <formula>0</formula>
    </cfRule>
  </conditionalFormatting>
  <conditionalFormatting sqref="F241:XFD241">
    <cfRule type="cellIs" dxfId="26" priority="133" operator="notEqual">
      <formula>0</formula>
    </cfRule>
  </conditionalFormatting>
  <conditionalFormatting sqref="F252:XFD252">
    <cfRule type="cellIs" dxfId="25" priority="132" operator="notEqual">
      <formula>0</formula>
    </cfRule>
  </conditionalFormatting>
  <conditionalFormatting sqref="F263:XFD263">
    <cfRule type="cellIs" dxfId="24" priority="131" operator="notEqual">
      <formula>0</formula>
    </cfRule>
  </conditionalFormatting>
  <conditionalFormatting sqref="F274:XFD274">
    <cfRule type="cellIs" dxfId="23" priority="130" operator="notEqual">
      <formula>0</formula>
    </cfRule>
  </conditionalFormatting>
  <conditionalFormatting sqref="F286:XFD286">
    <cfRule type="cellIs" dxfId="22" priority="129" operator="notEqual">
      <formula>0</formula>
    </cfRule>
  </conditionalFormatting>
  <conditionalFormatting sqref="F297:XFD297">
    <cfRule type="cellIs" dxfId="21" priority="128" operator="notEqual">
      <formula>0</formula>
    </cfRule>
  </conditionalFormatting>
  <conditionalFormatting sqref="F308:XFD308">
    <cfRule type="cellIs" dxfId="20" priority="127" operator="notEqual">
      <formula>0</formula>
    </cfRule>
  </conditionalFormatting>
  <conditionalFormatting sqref="F319:XFD319">
    <cfRule type="cellIs" dxfId="19" priority="126" operator="notEqual">
      <formula>0</formula>
    </cfRule>
  </conditionalFormatting>
  <pageMargins left="0.7" right="0.7" top="0.75" bottom="0.75" header="0.3" footer="0.3"/>
  <pageSetup paperSize="8" scale="74"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E5ECA-202D-46A8-9782-223412E46823}">
  <sheetPr codeName="Sheet5">
    <tabColor rgb="FF93AB9D"/>
    <pageSetUpPr fitToPage="1"/>
  </sheetPr>
  <dimension ref="A1:BI237"/>
  <sheetViews>
    <sheetView showGridLines="0" topLeftCell="B1" workbookViewId="0">
      <pane xSplit="4" ySplit="3" topLeftCell="F4" activePane="bottomRight" state="frozen"/>
      <selection activeCell="U17" sqref="U17"/>
      <selection pane="topRight" activeCell="U17" sqref="U17"/>
      <selection pane="bottomLeft" activeCell="U17" sqref="U17"/>
      <selection pane="bottomRight" activeCell="AE2" sqref="AE2"/>
    </sheetView>
  </sheetViews>
  <sheetFormatPr defaultColWidth="0" defaultRowHeight="14.5" zeroHeight="1" x14ac:dyDescent="0.35"/>
  <cols>
    <col min="1" max="1" customWidth="true" hidden="true" style="57" width="5.453125" collapsed="false"/>
    <col min="2" max="3" customWidth="true" style="35" width="3.81640625" collapsed="false"/>
    <col min="4" max="4" customWidth="true" style="35" width="14.453125" collapsed="false"/>
    <col min="5" max="5" customWidth="true" style="35" width="39.0" collapsed="false"/>
    <col min="6" max="31" customWidth="true" style="43" width="10.81640625" collapsed="false"/>
    <col min="32" max="32" customWidth="true" hidden="true" style="35" width="1.81640625" collapsed="false"/>
    <col min="33" max="16384" hidden="true" style="35" width="1.81640625" collapsed="false"/>
  </cols>
  <sheetData>
    <row r="1" spans="1:31" ht="60" customHeight="1" x14ac:dyDescent="0.35">
      <c r="B1" s="48" t="s">
        <v>51</v>
      </c>
      <c r="C1" s="48"/>
      <c r="D1" s="48"/>
      <c r="E1" s="48"/>
      <c r="F1" s="35"/>
      <c r="G1" s="35"/>
      <c r="H1" s="35"/>
      <c r="I1" s="35"/>
      <c r="J1" s="35"/>
      <c r="K1" s="35"/>
      <c r="L1" s="35"/>
      <c r="M1" s="35"/>
      <c r="N1" s="35"/>
      <c r="O1" s="35"/>
      <c r="P1" s="35"/>
      <c r="Q1" s="35"/>
      <c r="R1" s="35"/>
      <c r="S1" s="35"/>
      <c r="T1" s="35"/>
      <c r="U1" s="35"/>
      <c r="V1" s="35"/>
      <c r="W1" s="35"/>
      <c r="X1" s="35"/>
      <c r="Y1" s="35"/>
      <c r="Z1" s="35"/>
      <c r="AA1" s="35"/>
      <c r="AB1" s="35"/>
      <c r="AC1" s="35"/>
      <c r="AD1" s="35"/>
      <c r="AE1" s="35"/>
    </row>
    <row r="2" spans="1:31" ht="18" customHeight="1" x14ac:dyDescent="0.35">
      <c r="B2" s="36"/>
      <c r="C2" s="36"/>
      <c r="D2" s="36"/>
      <c r="F2" s="37">
        <v>2015</v>
      </c>
      <c r="G2" s="37">
        <v>2016</v>
      </c>
      <c r="H2" s="37">
        <v>2017</v>
      </c>
      <c r="I2" s="37">
        <v>2018</v>
      </c>
      <c r="J2" s="37">
        <v>2019</v>
      </c>
      <c r="K2" s="37">
        <v>2020</v>
      </c>
      <c r="L2" s="38"/>
      <c r="M2" s="39"/>
      <c r="N2" s="40"/>
      <c r="O2" s="37">
        <v>2021</v>
      </c>
      <c r="P2" s="38"/>
      <c r="Q2" s="39"/>
      <c r="R2" s="39"/>
      <c r="S2" s="37">
        <v>2022</v>
      </c>
      <c r="T2" s="38"/>
      <c r="U2" s="39"/>
      <c r="V2" s="39"/>
      <c r="W2" s="37">
        <v>2023</v>
      </c>
      <c r="X2" s="39"/>
      <c r="Y2" s="39"/>
      <c r="Z2" s="39"/>
      <c r="AA2" s="37">
        <v>2024</v>
      </c>
      <c r="AB2" s="39"/>
      <c r="AC2" s="39"/>
      <c r="AD2" s="40"/>
      <c r="AE2" s="37">
        <v>2025</v>
      </c>
    </row>
    <row r="3" spans="1:31" ht="18" customHeight="1" x14ac:dyDescent="0.35">
      <c r="B3" s="34" t="s">
        <v>27</v>
      </c>
      <c r="C3" s="41"/>
      <c r="D3" s="41"/>
      <c r="F3" s="95">
        <v>42369</v>
      </c>
      <c r="G3" s="95">
        <v>42735</v>
      </c>
      <c r="H3" s="95">
        <v>43100</v>
      </c>
      <c r="I3" s="95">
        <v>43465</v>
      </c>
      <c r="J3" s="95">
        <v>43830</v>
      </c>
      <c r="K3" s="91">
        <v>43921</v>
      </c>
      <c r="L3" s="90">
        <v>44012</v>
      </c>
      <c r="M3" s="90">
        <v>44104</v>
      </c>
      <c r="N3" s="90">
        <v>44196</v>
      </c>
      <c r="O3" s="91">
        <v>44286</v>
      </c>
      <c r="P3" s="90">
        <v>44377</v>
      </c>
      <c r="Q3" s="90">
        <v>44469</v>
      </c>
      <c r="R3" s="90">
        <v>44561</v>
      </c>
      <c r="S3" s="91">
        <v>44651</v>
      </c>
      <c r="T3" s="90">
        <v>44742</v>
      </c>
      <c r="U3" s="90">
        <v>44834</v>
      </c>
      <c r="V3" s="90">
        <v>44926</v>
      </c>
      <c r="W3" s="91">
        <v>45016</v>
      </c>
      <c r="X3" s="90">
        <v>45107</v>
      </c>
      <c r="Y3" s="90">
        <v>45199</v>
      </c>
      <c r="Z3" s="90">
        <v>45291</v>
      </c>
      <c r="AA3" s="91">
        <v>45382</v>
      </c>
      <c r="AB3" s="91">
        <v>45473</v>
      </c>
      <c r="AC3" s="91">
        <v>45565</v>
      </c>
      <c r="AD3" s="95">
        <v>45657</v>
      </c>
      <c r="AE3" s="91">
        <v>45747</v>
      </c>
    </row>
    <row r="4" spans="1:31" ht="11.25" customHeight="1" x14ac:dyDescent="0.35">
      <c r="A4" s="57">
        <v>1</v>
      </c>
      <c r="E4" s="41"/>
      <c r="F4" s="92">
        <v>42369</v>
      </c>
      <c r="G4" s="92">
        <v>42735</v>
      </c>
      <c r="H4" s="92">
        <v>43100</v>
      </c>
      <c r="I4" s="92">
        <v>43465</v>
      </c>
      <c r="J4" s="92">
        <v>43830</v>
      </c>
      <c r="K4" s="92">
        <v>43921</v>
      </c>
      <c r="L4" s="92">
        <v>44012</v>
      </c>
      <c r="M4" s="92">
        <v>44104</v>
      </c>
      <c r="N4" s="92">
        <v>44196</v>
      </c>
      <c r="O4" s="92">
        <v>44286</v>
      </c>
      <c r="P4" s="92">
        <v>44377</v>
      </c>
      <c r="Q4" s="92">
        <v>44469</v>
      </c>
      <c r="R4" s="92">
        <v>44561</v>
      </c>
      <c r="S4" s="92">
        <v>44651</v>
      </c>
      <c r="T4" s="92">
        <v>44742</v>
      </c>
      <c r="U4" s="92">
        <v>44834</v>
      </c>
      <c r="V4" s="92">
        <v>44926</v>
      </c>
      <c r="W4" s="92">
        <v>45016</v>
      </c>
      <c r="X4" s="92">
        <v>45107</v>
      </c>
      <c r="Y4" s="92">
        <v>45199</v>
      </c>
      <c r="Z4" s="92">
        <v>45291</v>
      </c>
      <c r="AA4" s="92">
        <v>45382</v>
      </c>
      <c r="AB4" s="92">
        <v>45473</v>
      </c>
      <c r="AC4" s="92">
        <v>45565</v>
      </c>
      <c r="AD4" s="92">
        <v>45657</v>
      </c>
      <c r="AE4" s="102" t="s">
        <v>57</v>
      </c>
    </row>
    <row r="5" spans="1:31" ht="35.15" customHeight="1" x14ac:dyDescent="0.45">
      <c r="A5" s="57">
        <v>2</v>
      </c>
      <c r="B5" s="50" t="s">
        <v>16</v>
      </c>
      <c r="C5" s="42"/>
      <c r="D5" s="42"/>
    </row>
    <row r="6" spans="1:31" ht="26.15" customHeight="1" x14ac:dyDescent="0.45">
      <c r="A6" s="57">
        <v>3</v>
      </c>
      <c r="B6" s="42"/>
      <c r="C6" s="44" t="s">
        <v>7</v>
      </c>
      <c r="D6" s="44"/>
    </row>
    <row r="7" spans="1:31" ht="18" customHeight="1" x14ac:dyDescent="0.35">
      <c r="A7" s="57">
        <v>4</v>
      </c>
      <c r="D7" s="45" t="s">
        <v>9</v>
      </c>
      <c r="E7" s="45" t="s">
        <v>30</v>
      </c>
      <c r="F7" s="52">
        <f t="shared" ref="F7:K7" si="0">F8+F9+F13+F14</f>
        <v>0</v>
      </c>
      <c r="G7" s="52">
        <f t="shared" si="0"/>
        <v>0</v>
      </c>
      <c r="H7" s="52">
        <f t="shared" si="0"/>
        <v>41.393977</v>
      </c>
      <c r="I7" s="52">
        <f t="shared" si="0"/>
        <v>42.911225999999999</v>
      </c>
      <c r="J7" s="52">
        <f t="shared" si="0"/>
        <v>51.523911000000005</v>
      </c>
      <c r="K7" s="52">
        <f t="shared" si="0"/>
        <v>46.381266000000004</v>
      </c>
      <c r="L7" s="52">
        <f t="shared" ref="L7:AB7" si="1">L8+L9+L13+L14</f>
        <v>37.604002999999999</v>
      </c>
      <c r="M7" s="52">
        <f t="shared" si="1"/>
        <v>23.702021999999999</v>
      </c>
      <c r="N7" s="52">
        <f t="shared" si="1"/>
        <v>18.638332999999999</v>
      </c>
      <c r="O7" s="52">
        <f t="shared" si="1"/>
        <v>13.822951999999999</v>
      </c>
      <c r="P7" s="52">
        <f t="shared" si="1"/>
        <v>8.3758779999999984</v>
      </c>
      <c r="Q7" s="52">
        <f t="shared" si="1"/>
        <v>30.639941</v>
      </c>
      <c r="R7" s="52">
        <f t="shared" si="1"/>
        <v>26.316430999999998</v>
      </c>
      <c r="S7" s="52">
        <f t="shared" si="1"/>
        <v>20.767665999999998</v>
      </c>
      <c r="T7" s="52">
        <f t="shared" si="1"/>
        <v>18.350002</v>
      </c>
      <c r="U7" s="52">
        <f t="shared" si="1"/>
        <v>18.063217999999999</v>
      </c>
      <c r="V7" s="52">
        <f t="shared" si="1"/>
        <v>14.845611999999999</v>
      </c>
      <c r="W7" s="52">
        <f t="shared" si="1"/>
        <v>11.803726999999999</v>
      </c>
      <c r="X7" s="52">
        <f t="shared" si="1"/>
        <v>9.2794568399999999</v>
      </c>
      <c r="Y7" s="52">
        <f t="shared" si="1"/>
        <v>6.7918532699999998</v>
      </c>
      <c r="Z7" s="52">
        <f t="shared" si="1"/>
        <v>4.1860906400000006</v>
      </c>
      <c r="AA7" s="52">
        <f t="shared" si="1"/>
        <v>1.8860719100000001</v>
      </c>
      <c r="AB7" s="52">
        <f t="shared" si="1"/>
        <v>1.34E-4</v>
      </c>
      <c r="AC7" s="52">
        <f t="shared" ref="AC7" si="2">AC8+AC9+AC13+AC14</f>
        <v>1.34E-4</v>
      </c>
      <c r="AD7" s="52">
        <v>4.2811339999999998</v>
      </c>
      <c r="AE7" s="52">
        <v>4.2811339999999998</v>
      </c>
    </row>
    <row r="8" spans="1:31" x14ac:dyDescent="0.35">
      <c r="A8" s="57">
        <v>5</v>
      </c>
      <c r="D8" s="46" t="s">
        <v>10</v>
      </c>
      <c r="E8" s="46" t="s">
        <v>18</v>
      </c>
      <c r="F8" s="53"/>
      <c r="G8" s="53"/>
      <c r="H8" s="53"/>
      <c r="I8" s="53"/>
      <c r="J8" s="53"/>
      <c r="K8" s="53"/>
      <c r="L8" s="53"/>
      <c r="M8" s="53"/>
      <c r="N8" s="53"/>
      <c r="O8" s="53"/>
      <c r="P8" s="53"/>
      <c r="Q8" s="53"/>
      <c r="R8" s="53"/>
      <c r="S8" s="53"/>
      <c r="T8" s="53"/>
      <c r="U8" s="53"/>
      <c r="V8" s="53"/>
      <c r="W8" s="53"/>
      <c r="X8" s="53"/>
      <c r="Y8" s="53"/>
      <c r="Z8" s="53"/>
      <c r="AA8" s="53"/>
      <c r="AB8" s="53"/>
      <c r="AC8" s="53"/>
      <c r="AD8" s="53"/>
      <c r="AE8" s="53"/>
    </row>
    <row r="9" spans="1:31" x14ac:dyDescent="0.35">
      <c r="A9" s="57">
        <v>6</v>
      </c>
      <c r="D9" s="46" t="s">
        <v>11</v>
      </c>
      <c r="E9" s="46" t="s">
        <v>0</v>
      </c>
      <c r="F9" s="54">
        <f t="shared" ref="F9:K9" si="3">SUM(F10:F12)</f>
        <v>0</v>
      </c>
      <c r="G9" s="54">
        <f t="shared" si="3"/>
        <v>0</v>
      </c>
      <c r="H9" s="54">
        <f t="shared" si="3"/>
        <v>41.393977</v>
      </c>
      <c r="I9" s="54">
        <f t="shared" si="3"/>
        <v>42.911225999999999</v>
      </c>
      <c r="J9" s="54">
        <f t="shared" si="3"/>
        <v>51.523911000000005</v>
      </c>
      <c r="K9" s="54">
        <f t="shared" si="3"/>
        <v>46.381266000000004</v>
      </c>
      <c r="L9" s="54">
        <f t="shared" ref="L9:AB9" si="4">SUM(L10:L12)</f>
        <v>37.604002999999999</v>
      </c>
      <c r="M9" s="54">
        <f t="shared" si="4"/>
        <v>23.702021999999999</v>
      </c>
      <c r="N9" s="54">
        <f t="shared" si="4"/>
        <v>18.638332999999999</v>
      </c>
      <c r="O9" s="54">
        <f t="shared" si="4"/>
        <v>13.822951999999999</v>
      </c>
      <c r="P9" s="54">
        <f t="shared" si="4"/>
        <v>8.3758779999999984</v>
      </c>
      <c r="Q9" s="54">
        <f t="shared" si="4"/>
        <v>30.639941</v>
      </c>
      <c r="R9" s="54">
        <f t="shared" si="4"/>
        <v>26.316430999999998</v>
      </c>
      <c r="S9" s="54">
        <f t="shared" si="4"/>
        <v>20.767665999999998</v>
      </c>
      <c r="T9" s="54">
        <f t="shared" si="4"/>
        <v>18.350002</v>
      </c>
      <c r="U9" s="54">
        <f t="shared" si="4"/>
        <v>18.063217999999999</v>
      </c>
      <c r="V9" s="54">
        <f t="shared" si="4"/>
        <v>14.845611999999999</v>
      </c>
      <c r="W9" s="54">
        <f t="shared" si="4"/>
        <v>11.803726999999999</v>
      </c>
      <c r="X9" s="54">
        <f t="shared" si="4"/>
        <v>9.2794568399999999</v>
      </c>
      <c r="Y9" s="54">
        <f t="shared" si="4"/>
        <v>6.7918532699999998</v>
      </c>
      <c r="Z9" s="54">
        <f t="shared" si="4"/>
        <v>4.1860906400000006</v>
      </c>
      <c r="AA9" s="54">
        <f t="shared" si="4"/>
        <v>1.8860719100000001</v>
      </c>
      <c r="AB9" s="54">
        <f t="shared" si="4"/>
        <v>1.34E-4</v>
      </c>
      <c r="AC9" s="54">
        <f t="shared" ref="AC9" si="5">SUM(AC10:AC12)</f>
        <v>1.34E-4</v>
      </c>
      <c r="AD9" s="54">
        <v>4.2811339999999998</v>
      </c>
      <c r="AE9" s="54">
        <v>4.2811339999999998</v>
      </c>
    </row>
    <row r="10" spans="1:31" x14ac:dyDescent="0.35">
      <c r="A10" s="57">
        <v>7</v>
      </c>
      <c r="D10" s="47" t="s">
        <v>21</v>
      </c>
      <c r="E10" s="47" t="s">
        <v>20</v>
      </c>
      <c r="F10" s="55">
        <v>0</v>
      </c>
      <c r="G10" s="55">
        <v>0</v>
      </c>
      <c r="H10" s="55">
        <v>41.393977</v>
      </c>
      <c r="I10" s="55">
        <v>37.466225999999999</v>
      </c>
      <c r="J10" s="55">
        <v>46.133911000000005</v>
      </c>
      <c r="K10" s="55">
        <v>40.097306000000003</v>
      </c>
      <c r="L10" s="55">
        <v>31.320042999999998</v>
      </c>
      <c r="M10" s="55">
        <v>23.702021999999999</v>
      </c>
      <c r="N10" s="55">
        <v>18.638332999999999</v>
      </c>
      <c r="O10" s="55">
        <v>13.822951999999999</v>
      </c>
      <c r="P10" s="55">
        <v>8.3758779999999984</v>
      </c>
      <c r="Q10" s="55">
        <v>30.639941</v>
      </c>
      <c r="R10" s="55">
        <v>26.316430999999998</v>
      </c>
      <c r="S10" s="55">
        <v>20.767665999999998</v>
      </c>
      <c r="T10" s="55">
        <v>18.350002</v>
      </c>
      <c r="U10" s="55">
        <v>18.063217999999999</v>
      </c>
      <c r="V10" s="55">
        <v>14.845611999999999</v>
      </c>
      <c r="W10" s="55">
        <v>11.803726999999999</v>
      </c>
      <c r="X10" s="55">
        <v>9.2794568399999999</v>
      </c>
      <c r="Y10" s="55">
        <v>6.7918532699999998</v>
      </c>
      <c r="Z10" s="55">
        <v>4.1860906400000006</v>
      </c>
      <c r="AA10" s="55">
        <v>1.8860719100000001</v>
      </c>
      <c r="AB10" s="55">
        <v>1.34E-4</v>
      </c>
      <c r="AC10" s="55">
        <v>1.34E-4</v>
      </c>
      <c r="AD10" s="55">
        <v>1.34E-4</v>
      </c>
      <c r="AE10" s="55">
        <v>1.34E-4</v>
      </c>
    </row>
    <row r="11" spans="1:31" x14ac:dyDescent="0.35">
      <c r="A11" s="57">
        <v>8</v>
      </c>
      <c r="D11" s="47" t="s">
        <v>12</v>
      </c>
      <c r="E11" s="47" t="s">
        <v>22</v>
      </c>
      <c r="F11" s="55">
        <v>0</v>
      </c>
      <c r="G11" s="55">
        <v>0</v>
      </c>
      <c r="H11" s="55">
        <v>0</v>
      </c>
      <c r="I11" s="55">
        <v>0</v>
      </c>
      <c r="J11" s="55">
        <v>0</v>
      </c>
      <c r="K11" s="55">
        <v>0</v>
      </c>
      <c r="L11" s="55">
        <v>0</v>
      </c>
      <c r="M11" s="55">
        <v>0</v>
      </c>
      <c r="N11" s="55">
        <v>0</v>
      </c>
      <c r="O11" s="55">
        <v>0</v>
      </c>
      <c r="P11" s="55">
        <v>0</v>
      </c>
      <c r="Q11" s="55">
        <v>0</v>
      </c>
      <c r="R11" s="55">
        <v>0</v>
      </c>
      <c r="S11" s="55">
        <v>0</v>
      </c>
      <c r="T11" s="55">
        <v>0</v>
      </c>
      <c r="U11" s="55">
        <v>0</v>
      </c>
      <c r="V11" s="55">
        <v>0</v>
      </c>
      <c r="W11" s="55">
        <v>0</v>
      </c>
      <c r="X11" s="55">
        <v>0</v>
      </c>
      <c r="Y11" s="55">
        <v>0</v>
      </c>
      <c r="Z11" s="55">
        <v>0</v>
      </c>
      <c r="AA11" s="55">
        <v>0</v>
      </c>
      <c r="AB11" s="55">
        <v>0</v>
      </c>
      <c r="AC11" s="55">
        <v>0</v>
      </c>
      <c r="AD11" s="55">
        <v>4.2809999999999997</v>
      </c>
      <c r="AE11" s="55">
        <v>4.2809999999999997</v>
      </c>
    </row>
    <row r="12" spans="1:31" x14ac:dyDescent="0.35">
      <c r="A12" s="57">
        <v>9</v>
      </c>
      <c r="D12" s="47" t="s">
        <v>13</v>
      </c>
      <c r="E12" s="47" t="s">
        <v>23</v>
      </c>
      <c r="F12" s="55">
        <v>0</v>
      </c>
      <c r="G12" s="55">
        <v>0</v>
      </c>
      <c r="H12" s="55">
        <v>0</v>
      </c>
      <c r="I12" s="55">
        <v>5.4450000000000003</v>
      </c>
      <c r="J12" s="55">
        <v>5.39</v>
      </c>
      <c r="K12" s="55">
        <v>6.2839600000000004</v>
      </c>
      <c r="L12" s="55">
        <v>6.2839600000000004</v>
      </c>
      <c r="M12" s="55">
        <v>0</v>
      </c>
      <c r="N12" s="55">
        <v>0</v>
      </c>
      <c r="O12" s="55">
        <v>0</v>
      </c>
      <c r="P12" s="55">
        <v>0</v>
      </c>
      <c r="Q12" s="55">
        <v>0</v>
      </c>
      <c r="R12" s="55">
        <v>0</v>
      </c>
      <c r="S12" s="55">
        <v>0</v>
      </c>
      <c r="T12" s="55">
        <v>0</v>
      </c>
      <c r="U12" s="55">
        <v>0</v>
      </c>
      <c r="V12" s="55">
        <v>0</v>
      </c>
      <c r="W12" s="55">
        <v>0</v>
      </c>
      <c r="X12" s="55">
        <v>0</v>
      </c>
      <c r="Y12" s="55">
        <v>0</v>
      </c>
      <c r="Z12" s="55">
        <v>0</v>
      </c>
      <c r="AA12" s="55">
        <v>0</v>
      </c>
      <c r="AB12" s="55">
        <v>0</v>
      </c>
      <c r="AC12" s="55">
        <v>0</v>
      </c>
      <c r="AD12" s="55">
        <v>0</v>
      </c>
      <c r="AE12" s="55">
        <v>0</v>
      </c>
    </row>
    <row r="13" spans="1:31" x14ac:dyDescent="0.35">
      <c r="A13" s="57">
        <v>10</v>
      </c>
      <c r="D13" s="46" t="s">
        <v>1</v>
      </c>
      <c r="E13" s="46" t="s">
        <v>24</v>
      </c>
      <c r="F13" s="54">
        <v>0</v>
      </c>
      <c r="G13" s="54">
        <v>0</v>
      </c>
      <c r="H13" s="54">
        <v>0</v>
      </c>
      <c r="I13" s="54">
        <v>0</v>
      </c>
      <c r="J13" s="54">
        <v>0</v>
      </c>
      <c r="K13" s="54">
        <v>0</v>
      </c>
      <c r="L13" s="54">
        <v>0</v>
      </c>
      <c r="M13" s="54">
        <v>0</v>
      </c>
      <c r="N13" s="54">
        <v>0</v>
      </c>
      <c r="O13" s="54">
        <v>0</v>
      </c>
      <c r="P13" s="54">
        <v>0</v>
      </c>
      <c r="Q13" s="54">
        <v>0</v>
      </c>
      <c r="R13" s="54">
        <v>0</v>
      </c>
      <c r="S13" s="54">
        <v>0</v>
      </c>
      <c r="T13" s="54">
        <v>0</v>
      </c>
      <c r="U13" s="54">
        <v>0</v>
      </c>
      <c r="V13" s="54">
        <v>0</v>
      </c>
      <c r="W13" s="54">
        <v>0</v>
      </c>
      <c r="X13" s="54">
        <v>0</v>
      </c>
      <c r="Y13" s="54">
        <v>0</v>
      </c>
      <c r="Z13" s="54">
        <v>0</v>
      </c>
      <c r="AA13" s="54">
        <v>0</v>
      </c>
      <c r="AB13" s="54">
        <v>0</v>
      </c>
      <c r="AC13" s="54">
        <v>0</v>
      </c>
      <c r="AD13" s="54">
        <v>0</v>
      </c>
      <c r="AE13" s="54">
        <v>0</v>
      </c>
    </row>
    <row r="14" spans="1:31" x14ac:dyDescent="0.35">
      <c r="A14" s="57">
        <v>11</v>
      </c>
      <c r="D14" s="46" t="s">
        <v>25</v>
      </c>
      <c r="E14" s="46" t="s">
        <v>26</v>
      </c>
      <c r="F14" s="54">
        <v>0</v>
      </c>
      <c r="G14" s="54">
        <v>0</v>
      </c>
      <c r="H14" s="54">
        <v>0</v>
      </c>
      <c r="I14" s="54">
        <v>0</v>
      </c>
      <c r="J14" s="54">
        <v>0</v>
      </c>
      <c r="K14" s="54">
        <v>0</v>
      </c>
      <c r="L14" s="54">
        <v>0</v>
      </c>
      <c r="M14" s="54">
        <v>0</v>
      </c>
      <c r="N14" s="54">
        <v>0</v>
      </c>
      <c r="O14" s="54">
        <v>0</v>
      </c>
      <c r="P14" s="54">
        <v>0</v>
      </c>
      <c r="Q14" s="54">
        <v>0</v>
      </c>
      <c r="R14" s="54">
        <v>0</v>
      </c>
      <c r="S14" s="54">
        <v>0</v>
      </c>
      <c r="T14" s="54">
        <v>0</v>
      </c>
      <c r="U14" s="54">
        <v>0</v>
      </c>
      <c r="V14" s="54">
        <v>0</v>
      </c>
      <c r="W14" s="54">
        <v>0</v>
      </c>
      <c r="X14" s="54">
        <v>0</v>
      </c>
      <c r="Y14" s="54">
        <v>0</v>
      </c>
      <c r="Z14" s="54">
        <v>0</v>
      </c>
      <c r="AA14" s="54">
        <v>0</v>
      </c>
      <c r="AB14" s="54">
        <v>0</v>
      </c>
      <c r="AC14" s="54">
        <v>0</v>
      </c>
      <c r="AD14" s="54">
        <v>0</v>
      </c>
      <c r="AE14" s="54">
        <v>0</v>
      </c>
    </row>
    <row r="15" spans="1:31" ht="15.5" x14ac:dyDescent="0.35">
      <c r="A15" s="57">
        <v>12</v>
      </c>
      <c r="D15" s="45" t="s">
        <v>15</v>
      </c>
      <c r="E15" s="45" t="s">
        <v>17</v>
      </c>
      <c r="F15" s="52">
        <v>11969.66748</v>
      </c>
      <c r="G15" s="52">
        <v>11786.828046000001</v>
      </c>
      <c r="H15" s="52">
        <v>9741.9839399999983</v>
      </c>
      <c r="I15" s="52">
        <v>9866.8238390000006</v>
      </c>
      <c r="J15" s="52">
        <v>9914.9661020000003</v>
      </c>
      <c r="K15" s="52">
        <v>10425.735584</v>
      </c>
      <c r="L15" s="52">
        <v>9762.1918160000005</v>
      </c>
      <c r="M15" s="52">
        <v>9518.7008399999977</v>
      </c>
      <c r="N15" s="52">
        <v>9642.7581900000005</v>
      </c>
      <c r="O15" s="52">
        <v>10092.099402</v>
      </c>
      <c r="P15" s="52">
        <v>10026.194635000002</v>
      </c>
      <c r="Q15" s="52">
        <v>9956.8172439999998</v>
      </c>
      <c r="R15" s="52">
        <v>10466.651315999999</v>
      </c>
      <c r="S15" s="52">
        <v>10916.976008999998</v>
      </c>
      <c r="T15" s="52">
        <v>10704.271680000002</v>
      </c>
      <c r="U15" s="52">
        <v>11628.227392000001</v>
      </c>
      <c r="V15" s="52">
        <v>10612.135547000002</v>
      </c>
      <c r="W15" s="52">
        <v>10228.655234</v>
      </c>
      <c r="X15" s="52">
        <v>10122.572442000001</v>
      </c>
      <c r="Y15" s="52">
        <v>10056.402223000001</v>
      </c>
      <c r="Z15" s="52">
        <v>9641.6423039999991</v>
      </c>
      <c r="AA15" s="52">
        <v>9773.8630080000003</v>
      </c>
      <c r="AB15" s="52">
        <v>9932.1412259999997</v>
      </c>
      <c r="AC15" s="52">
        <v>9654.6697500000009</v>
      </c>
      <c r="AD15" s="52">
        <v>10235.943072</v>
      </c>
      <c r="AE15" s="52">
        <v>9997.7574719999993</v>
      </c>
    </row>
    <row r="16" spans="1:31" ht="9" customHeight="1" x14ac:dyDescent="0.35">
      <c r="A16" s="57">
        <v>13</v>
      </c>
      <c r="D16" s="49"/>
      <c r="E16" s="49"/>
      <c r="F16" s="51">
        <v>0</v>
      </c>
      <c r="G16" s="51">
        <v>0</v>
      </c>
      <c r="H16" s="51">
        <v>0</v>
      </c>
      <c r="I16" s="51">
        <v>0</v>
      </c>
      <c r="J16" s="51">
        <v>0</v>
      </c>
      <c r="K16" s="51">
        <v>0</v>
      </c>
      <c r="L16" s="51">
        <v>0</v>
      </c>
      <c r="M16" s="51">
        <v>0</v>
      </c>
      <c r="N16" s="51">
        <v>0</v>
      </c>
      <c r="O16" s="51">
        <v>0</v>
      </c>
      <c r="P16" s="51">
        <v>0</v>
      </c>
      <c r="Q16" s="51">
        <v>0</v>
      </c>
      <c r="R16" s="51">
        <v>0</v>
      </c>
      <c r="S16" s="51">
        <v>0</v>
      </c>
      <c r="T16" s="51">
        <v>0</v>
      </c>
      <c r="U16" s="51">
        <v>0</v>
      </c>
      <c r="V16" s="51">
        <v>0</v>
      </c>
      <c r="W16" s="51">
        <v>0</v>
      </c>
      <c r="X16" s="51">
        <v>0</v>
      </c>
      <c r="Y16" s="51">
        <v>0</v>
      </c>
      <c r="Z16" s="51">
        <v>0</v>
      </c>
      <c r="AA16" s="51">
        <v>0</v>
      </c>
      <c r="AB16" s="51">
        <v>0</v>
      </c>
      <c r="AC16" s="51">
        <v>0</v>
      </c>
      <c r="AD16" s="51">
        <v>0</v>
      </c>
      <c r="AE16" s="51">
        <v>0</v>
      </c>
    </row>
    <row r="17" spans="1:31" ht="26.15" customHeight="1" x14ac:dyDescent="0.45">
      <c r="A17" s="57">
        <v>14</v>
      </c>
      <c r="B17" s="42"/>
      <c r="C17" s="44" t="s">
        <v>2</v>
      </c>
      <c r="D17" s="44"/>
      <c r="F17" s="56"/>
      <c r="G17" s="56"/>
      <c r="H17" s="56"/>
      <c r="I17" s="56"/>
      <c r="J17" s="56"/>
      <c r="K17" s="56"/>
      <c r="L17" s="56"/>
      <c r="M17" s="56"/>
      <c r="N17" s="56"/>
      <c r="O17" s="56"/>
      <c r="P17" s="56"/>
      <c r="Q17" s="56"/>
      <c r="R17" s="56"/>
      <c r="S17" s="56"/>
      <c r="T17" s="56"/>
      <c r="U17" s="99"/>
      <c r="V17" s="99"/>
      <c r="W17" s="99"/>
      <c r="X17" s="56"/>
      <c r="Y17" s="56"/>
      <c r="Z17" s="56"/>
      <c r="AA17" s="56"/>
      <c r="AB17" s="56"/>
      <c r="AC17" s="56"/>
      <c r="AD17" s="56"/>
      <c r="AE17" s="56"/>
    </row>
    <row r="18" spans="1:31" ht="18" customHeight="1" x14ac:dyDescent="0.35">
      <c r="A18" s="57">
        <v>15</v>
      </c>
      <c r="D18" s="45" t="s">
        <v>9</v>
      </c>
      <c r="E18" s="45" t="s">
        <v>30</v>
      </c>
      <c r="F18" s="52">
        <f t="shared" ref="F18:K18" si="6">F19+F20+F24+F25</f>
        <v>35705.647128058365</v>
      </c>
      <c r="G18" s="52">
        <f t="shared" si="6"/>
        <v>32866.340931033999</v>
      </c>
      <c r="H18" s="52">
        <f t="shared" si="6"/>
        <v>30181.720268390429</v>
      </c>
      <c r="I18" s="52">
        <f t="shared" si="6"/>
        <v>30370.045883716855</v>
      </c>
      <c r="J18" s="52">
        <f t="shared" si="6"/>
        <v>31480.537968949066</v>
      </c>
      <c r="K18" s="52">
        <f t="shared" si="6"/>
        <v>32616.726482479975</v>
      </c>
      <c r="L18" s="52">
        <f t="shared" ref="L18:AB18" si="7">L19+L20+L24+L25</f>
        <v>31975.757169981825</v>
      </c>
      <c r="M18" s="52">
        <f t="shared" si="7"/>
        <v>33120.878227523863</v>
      </c>
      <c r="N18" s="52">
        <f t="shared" si="7"/>
        <v>34698.947494469059</v>
      </c>
      <c r="O18" s="52">
        <f t="shared" si="7"/>
        <v>34871.339718468123</v>
      </c>
      <c r="P18" s="52">
        <f t="shared" si="7"/>
        <v>35744.156898095185</v>
      </c>
      <c r="Q18" s="52">
        <f t="shared" si="7"/>
        <v>36596.812578630415</v>
      </c>
      <c r="R18" s="52">
        <f t="shared" si="7"/>
        <v>38030.842513149124</v>
      </c>
      <c r="S18" s="52">
        <f t="shared" si="7"/>
        <v>39284.131402219333</v>
      </c>
      <c r="T18" s="52">
        <f t="shared" si="7"/>
        <v>41944.105607738624</v>
      </c>
      <c r="U18" s="52">
        <f t="shared" si="7"/>
        <v>42817.736533746363</v>
      </c>
      <c r="V18" s="52">
        <f t="shared" si="7"/>
        <v>46337.758696841091</v>
      </c>
      <c r="W18" s="52">
        <f t="shared" si="7"/>
        <v>45609.001091269696</v>
      </c>
      <c r="X18" s="52">
        <f t="shared" si="7"/>
        <v>45980.763721789655</v>
      </c>
      <c r="Y18" s="52">
        <f t="shared" si="7"/>
        <v>44868.506128814952</v>
      </c>
      <c r="Z18" s="52">
        <f t="shared" si="7"/>
        <v>45243.83198343018</v>
      </c>
      <c r="AA18" s="52">
        <f t="shared" si="7"/>
        <v>45397.453420351791</v>
      </c>
      <c r="AB18" s="52">
        <f t="shared" si="7"/>
        <v>47665.590302724602</v>
      </c>
      <c r="AC18" s="52">
        <f t="shared" ref="AC18" si="8">AC19+AC20+AC24+AC25</f>
        <v>48622.974151602997</v>
      </c>
      <c r="AD18" s="52">
        <v>51273.675690603966</v>
      </c>
      <c r="AE18" s="52">
        <v>53553.369710801606</v>
      </c>
    </row>
    <row r="19" spans="1:31" x14ac:dyDescent="0.35">
      <c r="A19" s="57">
        <v>16</v>
      </c>
      <c r="D19" s="46" t="s">
        <v>10</v>
      </c>
      <c r="E19" s="46" t="s">
        <v>18</v>
      </c>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row>
    <row r="20" spans="1:31" x14ac:dyDescent="0.35">
      <c r="A20" s="57">
        <v>17</v>
      </c>
      <c r="D20" s="46" t="s">
        <v>11</v>
      </c>
      <c r="E20" s="46" t="s">
        <v>0</v>
      </c>
      <c r="F20" s="54">
        <f t="shared" ref="F20:K20" si="9">SUM(F21:F23)</f>
        <v>33854.552833964866</v>
      </c>
      <c r="G20" s="54">
        <f t="shared" si="9"/>
        <v>30601.813300674003</v>
      </c>
      <c r="H20" s="54">
        <f t="shared" si="9"/>
        <v>27817.271914390429</v>
      </c>
      <c r="I20" s="54">
        <f t="shared" si="9"/>
        <v>27703.767491716855</v>
      </c>
      <c r="J20" s="54">
        <f t="shared" si="9"/>
        <v>28667.148301949066</v>
      </c>
      <c r="K20" s="54">
        <f t="shared" si="9"/>
        <v>29572.396667479974</v>
      </c>
      <c r="L20" s="54">
        <f t="shared" ref="L20:AB20" si="10">SUM(L21:L23)</f>
        <v>28828.491889981826</v>
      </c>
      <c r="M20" s="54">
        <f t="shared" si="10"/>
        <v>29852.841272523863</v>
      </c>
      <c r="N20" s="54">
        <f t="shared" si="10"/>
        <v>31362.52579446906</v>
      </c>
      <c r="O20" s="54">
        <f t="shared" si="10"/>
        <v>31441.885335468123</v>
      </c>
      <c r="P20" s="54">
        <f t="shared" si="10"/>
        <v>32456.769706198702</v>
      </c>
      <c r="Q20" s="54">
        <f t="shared" si="10"/>
        <v>33333.434831879473</v>
      </c>
      <c r="R20" s="54">
        <f t="shared" si="10"/>
        <v>34593.661403149119</v>
      </c>
      <c r="S20" s="54">
        <f t="shared" si="10"/>
        <v>34904.821818548473</v>
      </c>
      <c r="T20" s="54">
        <f t="shared" si="10"/>
        <v>36366.461426192946</v>
      </c>
      <c r="U20" s="54">
        <f t="shared" si="10"/>
        <v>36382.360910937845</v>
      </c>
      <c r="V20" s="54">
        <f t="shared" si="10"/>
        <v>38793.932220749637</v>
      </c>
      <c r="W20" s="54">
        <f t="shared" si="10"/>
        <v>38718.976971451179</v>
      </c>
      <c r="X20" s="54">
        <f t="shared" si="10"/>
        <v>39512.079586193977</v>
      </c>
      <c r="Y20" s="54">
        <f t="shared" si="10"/>
        <v>38866.54689047212</v>
      </c>
      <c r="Z20" s="54">
        <f t="shared" si="10"/>
        <v>39591.19779873018</v>
      </c>
      <c r="AA20" s="54">
        <f t="shared" si="10"/>
        <v>40110.120661727422</v>
      </c>
      <c r="AB20" s="54">
        <f t="shared" si="10"/>
        <v>42747.684270051126</v>
      </c>
      <c r="AC20" s="54">
        <f t="shared" ref="AC20" si="11">SUM(AC21:AC23)</f>
        <v>44231.162968390476</v>
      </c>
      <c r="AD20" s="54">
        <v>47305.513962585937</v>
      </c>
      <c r="AE20" s="54">
        <v>50171.942627074211</v>
      </c>
    </row>
    <row r="21" spans="1:31" x14ac:dyDescent="0.35">
      <c r="A21" s="57">
        <v>18</v>
      </c>
      <c r="D21" s="47" t="s">
        <v>21</v>
      </c>
      <c r="E21" s="47" t="s">
        <v>20</v>
      </c>
      <c r="F21" s="55">
        <v>33025.691192164864</v>
      </c>
      <c r="G21" s="55">
        <v>29644.799303214004</v>
      </c>
      <c r="H21" s="55">
        <v>27182.772178880427</v>
      </c>
      <c r="I21" s="55">
        <v>26586.548615206855</v>
      </c>
      <c r="J21" s="55">
        <v>26987.964797459066</v>
      </c>
      <c r="K21" s="55">
        <v>27860.664554599975</v>
      </c>
      <c r="L21" s="55">
        <v>27193.850478031825</v>
      </c>
      <c r="M21" s="55">
        <v>28164.991757563865</v>
      </c>
      <c r="N21" s="55">
        <v>29538.707244299061</v>
      </c>
      <c r="O21" s="55">
        <v>29601.476690648124</v>
      </c>
      <c r="P21" s="55">
        <v>30490.879229238701</v>
      </c>
      <c r="Q21" s="55">
        <v>31446.034604079472</v>
      </c>
      <c r="R21" s="55">
        <v>32552.72162131912</v>
      </c>
      <c r="S21" s="55">
        <v>32701.928194898468</v>
      </c>
      <c r="T21" s="55">
        <v>33910.235891522949</v>
      </c>
      <c r="U21" s="55">
        <v>33881.289264617844</v>
      </c>
      <c r="V21" s="55">
        <v>36045.196416559636</v>
      </c>
      <c r="W21" s="55">
        <v>35604.403348291176</v>
      </c>
      <c r="X21" s="55">
        <v>35985.976849943982</v>
      </c>
      <c r="Y21" s="55">
        <v>35234.829413512118</v>
      </c>
      <c r="Z21" s="55">
        <v>35693.200269180183</v>
      </c>
      <c r="AA21" s="55">
        <v>35999.562447747419</v>
      </c>
      <c r="AB21" s="55">
        <v>38300.160770841132</v>
      </c>
      <c r="AC21" s="55">
        <v>39714.875718750474</v>
      </c>
      <c r="AD21" s="55">
        <v>42525.166711615937</v>
      </c>
      <c r="AE21" s="55">
        <v>45326.753209374212</v>
      </c>
    </row>
    <row r="22" spans="1:31" x14ac:dyDescent="0.35">
      <c r="A22" s="57">
        <v>19</v>
      </c>
      <c r="D22" s="47" t="s">
        <v>12</v>
      </c>
      <c r="E22" s="47" t="s">
        <v>22</v>
      </c>
      <c r="F22" s="55">
        <v>803.09402899999998</v>
      </c>
      <c r="G22" s="55">
        <v>929.46021599999995</v>
      </c>
      <c r="H22" s="55">
        <v>607.32985900000006</v>
      </c>
      <c r="I22" s="55">
        <v>1092.4175989999999</v>
      </c>
      <c r="J22" s="55">
        <v>1616.5896029999999</v>
      </c>
      <c r="K22" s="55">
        <v>1694.1495129999998</v>
      </c>
      <c r="L22" s="55">
        <v>1616.6577050000001</v>
      </c>
      <c r="M22" s="55">
        <v>1670.3235340000001</v>
      </c>
      <c r="N22" s="55">
        <v>1807.341936</v>
      </c>
      <c r="O22" s="55">
        <v>1825.0288250000001</v>
      </c>
      <c r="P22" s="55">
        <v>1949.9713059999999</v>
      </c>
      <c r="Q22" s="55">
        <v>1872.1686160000002</v>
      </c>
      <c r="R22" s="55">
        <v>2027.063709</v>
      </c>
      <c r="S22" s="55">
        <v>2189.3343519999999</v>
      </c>
      <c r="T22" s="55">
        <v>2442.7784459999998</v>
      </c>
      <c r="U22" s="55">
        <v>2487.7333630000003</v>
      </c>
      <c r="V22" s="55">
        <v>2735.0790489999999</v>
      </c>
      <c r="W22" s="55">
        <v>3114.15978</v>
      </c>
      <c r="X22" s="55">
        <v>3525.7407039999998</v>
      </c>
      <c r="Y22" s="55">
        <v>3631.3993300000002</v>
      </c>
      <c r="Z22" s="55">
        <v>3897.7138660000001</v>
      </c>
      <c r="AA22" s="55">
        <v>4110.3051059999998</v>
      </c>
      <c r="AB22" s="55">
        <v>4447.300843</v>
      </c>
      <c r="AC22" s="55">
        <v>4516.0951490000007</v>
      </c>
      <c r="AD22" s="55">
        <v>4780.185727</v>
      </c>
      <c r="AE22" s="55">
        <v>4845.0589070000005</v>
      </c>
    </row>
    <row r="23" spans="1:31" x14ac:dyDescent="0.35">
      <c r="A23" s="57">
        <v>20</v>
      </c>
      <c r="D23" s="47" t="s">
        <v>13</v>
      </c>
      <c r="E23" s="47" t="s">
        <v>23</v>
      </c>
      <c r="F23" s="55">
        <v>25.767612799999995</v>
      </c>
      <c r="G23" s="55">
        <v>27.55378146</v>
      </c>
      <c r="H23" s="55">
        <v>27.169876510000002</v>
      </c>
      <c r="I23" s="55">
        <v>24.801277510000002</v>
      </c>
      <c r="J23" s="55">
        <v>62.59390149</v>
      </c>
      <c r="K23" s="55">
        <v>17.58259988</v>
      </c>
      <c r="L23" s="55">
        <v>17.983706949999998</v>
      </c>
      <c r="M23" s="55">
        <v>17.525980960000002</v>
      </c>
      <c r="N23" s="55">
        <v>16.476614169999998</v>
      </c>
      <c r="O23" s="55">
        <v>15.37981982</v>
      </c>
      <c r="P23" s="55">
        <v>15.919170959999999</v>
      </c>
      <c r="Q23" s="55">
        <v>15.231611800000001</v>
      </c>
      <c r="R23" s="55">
        <v>13.87607283</v>
      </c>
      <c r="S23" s="55">
        <v>13.559271649999999</v>
      </c>
      <c r="T23" s="55">
        <v>13.447088669999999</v>
      </c>
      <c r="U23" s="55">
        <v>13.33828332</v>
      </c>
      <c r="V23" s="55">
        <v>13.656755189999998</v>
      </c>
      <c r="W23" s="55">
        <v>0.41384315999999643</v>
      </c>
      <c r="X23" s="55">
        <v>0.36203225</v>
      </c>
      <c r="Y23" s="55">
        <v>0.31814695999999343</v>
      </c>
      <c r="Z23" s="55">
        <v>0.28366354999999704</v>
      </c>
      <c r="AA23" s="55">
        <v>0.25310798000000001</v>
      </c>
      <c r="AB23" s="55">
        <v>0.22265620999999999</v>
      </c>
      <c r="AC23" s="55">
        <v>0.19210064000000002</v>
      </c>
      <c r="AD23" s="55">
        <v>0.16152396999999999</v>
      </c>
      <c r="AE23" s="55">
        <v>0.13051069999998807</v>
      </c>
    </row>
    <row r="24" spans="1:31" x14ac:dyDescent="0.35">
      <c r="A24" s="57">
        <v>21</v>
      </c>
      <c r="D24" s="46" t="s">
        <v>1</v>
      </c>
      <c r="E24" s="46" t="s">
        <v>24</v>
      </c>
      <c r="F24" s="54">
        <v>1851.0942940935001</v>
      </c>
      <c r="G24" s="54">
        <v>2264.5276303599985</v>
      </c>
      <c r="H24" s="54">
        <v>2364.4483539999992</v>
      </c>
      <c r="I24" s="54">
        <v>2666.2783920000011</v>
      </c>
      <c r="J24" s="54">
        <v>2813.3896670000013</v>
      </c>
      <c r="K24" s="54">
        <v>3044.3298150000019</v>
      </c>
      <c r="L24" s="54">
        <v>3147.2652800000005</v>
      </c>
      <c r="M24" s="54">
        <v>3268.0369549999987</v>
      </c>
      <c r="N24" s="54">
        <v>3336.4216999999994</v>
      </c>
      <c r="O24" s="54">
        <v>3429.454383000003</v>
      </c>
      <c r="P24" s="54">
        <v>3287.3871918964869</v>
      </c>
      <c r="Q24" s="54">
        <v>3263.377746750939</v>
      </c>
      <c r="R24" s="54">
        <v>3437.1811100000045</v>
      </c>
      <c r="S24" s="54">
        <v>4379.309583670859</v>
      </c>
      <c r="T24" s="54">
        <v>5577.644181545681</v>
      </c>
      <c r="U24" s="54">
        <v>6435.3756228085194</v>
      </c>
      <c r="V24" s="54">
        <v>7543.8264760914572</v>
      </c>
      <c r="W24" s="54">
        <v>6890.0241198185186</v>
      </c>
      <c r="X24" s="54">
        <v>6468.6841355956785</v>
      </c>
      <c r="Y24" s="54">
        <v>6001.9592383428344</v>
      </c>
      <c r="Z24" s="54">
        <v>5652.6341847000003</v>
      </c>
      <c r="AA24" s="54">
        <v>5287.3327586243677</v>
      </c>
      <c r="AB24" s="54">
        <v>4917.9060326734743</v>
      </c>
      <c r="AC24" s="54">
        <v>4391.8111832125196</v>
      </c>
      <c r="AD24" s="54">
        <v>3968.1617280180262</v>
      </c>
      <c r="AE24" s="54">
        <v>3381.427083727398</v>
      </c>
    </row>
    <row r="25" spans="1:31" x14ac:dyDescent="0.35">
      <c r="A25" s="57">
        <v>22</v>
      </c>
      <c r="D25" s="46" t="s">
        <v>25</v>
      </c>
      <c r="E25" s="46" t="s">
        <v>26</v>
      </c>
      <c r="F25" s="54">
        <v>0</v>
      </c>
      <c r="G25" s="54">
        <v>0</v>
      </c>
      <c r="H25" s="54">
        <v>0</v>
      </c>
      <c r="I25" s="54">
        <v>0</v>
      </c>
      <c r="J25" s="54">
        <v>0</v>
      </c>
      <c r="K25" s="54">
        <v>0</v>
      </c>
      <c r="L25" s="54">
        <v>0</v>
      </c>
      <c r="M25" s="54">
        <v>0</v>
      </c>
      <c r="N25" s="54">
        <v>0</v>
      </c>
      <c r="O25" s="54">
        <v>0</v>
      </c>
      <c r="P25" s="54">
        <v>0</v>
      </c>
      <c r="Q25" s="54">
        <v>0</v>
      </c>
      <c r="R25" s="54">
        <v>0</v>
      </c>
      <c r="S25" s="54">
        <v>0</v>
      </c>
      <c r="T25" s="54">
        <v>0</v>
      </c>
      <c r="U25" s="54">
        <v>0</v>
      </c>
      <c r="V25" s="54">
        <v>0</v>
      </c>
      <c r="W25" s="54">
        <v>0</v>
      </c>
      <c r="X25" s="54">
        <v>0</v>
      </c>
      <c r="Y25" s="54">
        <v>0</v>
      </c>
      <c r="Z25" s="54">
        <v>0</v>
      </c>
      <c r="AA25" s="54">
        <v>0</v>
      </c>
      <c r="AB25" s="54">
        <v>0</v>
      </c>
      <c r="AC25" s="54">
        <v>0</v>
      </c>
      <c r="AD25" s="54">
        <v>0</v>
      </c>
      <c r="AE25" s="54">
        <v>0</v>
      </c>
    </row>
    <row r="26" spans="1:31" ht="15.5" x14ac:dyDescent="0.35">
      <c r="A26" s="57">
        <v>23</v>
      </c>
      <c r="D26" s="45" t="s">
        <v>15</v>
      </c>
      <c r="E26" s="45" t="s">
        <v>17</v>
      </c>
      <c r="F26" s="52">
        <v>40667.332124490356</v>
      </c>
      <c r="G26" s="52">
        <v>40922.697639990867</v>
      </c>
      <c r="H26" s="52">
        <v>37330.413063207372</v>
      </c>
      <c r="I26" s="52">
        <v>39291.575117455926</v>
      </c>
      <c r="J26" s="52">
        <v>40967.247336071276</v>
      </c>
      <c r="K26" s="52">
        <v>42829.711827802981</v>
      </c>
      <c r="L26" s="52">
        <v>42614.872862997123</v>
      </c>
      <c r="M26" s="52">
        <v>42638.976983609355</v>
      </c>
      <c r="N26" s="52">
        <v>44404.708812732868</v>
      </c>
      <c r="O26" s="52">
        <v>45723.998602632098</v>
      </c>
      <c r="P26" s="52">
        <v>45839.853884015582</v>
      </c>
      <c r="Q26" s="52">
        <v>43689.38716502631</v>
      </c>
      <c r="R26" s="52">
        <v>43757.703398626421</v>
      </c>
      <c r="S26" s="52">
        <v>44908.323745999995</v>
      </c>
      <c r="T26" s="52">
        <v>45702.536159999996</v>
      </c>
      <c r="U26" s="52">
        <v>44316.60259200001</v>
      </c>
      <c r="V26" s="52">
        <v>46114.406352999998</v>
      </c>
      <c r="W26" s="52">
        <v>45039.544773999995</v>
      </c>
      <c r="X26" s="52">
        <v>44445.153579999998</v>
      </c>
      <c r="Y26" s="52">
        <v>43046.689307999986</v>
      </c>
      <c r="Z26" s="52">
        <v>42382.182317999992</v>
      </c>
      <c r="AA26" s="52">
        <v>42908.162024000005</v>
      </c>
      <c r="AB26" s="52">
        <v>42913.239884999995</v>
      </c>
      <c r="AC26" s="52">
        <v>42019.516250000008</v>
      </c>
      <c r="AD26" s="52">
        <v>43270.290977999997</v>
      </c>
      <c r="AE26" s="52">
        <v>42870.041829000002</v>
      </c>
    </row>
    <row r="27" spans="1:31" ht="9" customHeight="1" x14ac:dyDescent="0.35">
      <c r="A27" s="57">
        <v>24</v>
      </c>
      <c r="D27" s="49"/>
      <c r="E27" s="49"/>
      <c r="F27" s="51">
        <v>0</v>
      </c>
      <c r="G27" s="51">
        <v>0</v>
      </c>
      <c r="H27" s="51">
        <v>0</v>
      </c>
      <c r="I27" s="51">
        <v>0</v>
      </c>
      <c r="J27" s="51">
        <v>0</v>
      </c>
      <c r="K27" s="51">
        <v>0</v>
      </c>
      <c r="L27" s="51">
        <v>0</v>
      </c>
      <c r="M27" s="51">
        <v>0</v>
      </c>
      <c r="N27" s="51">
        <v>0</v>
      </c>
      <c r="O27" s="51">
        <v>0</v>
      </c>
      <c r="P27" s="51">
        <v>0</v>
      </c>
      <c r="Q27" s="51">
        <v>0</v>
      </c>
      <c r="R27" s="51">
        <v>0</v>
      </c>
      <c r="S27" s="51">
        <v>0</v>
      </c>
      <c r="T27" s="51">
        <v>0</v>
      </c>
      <c r="U27" s="51">
        <v>0</v>
      </c>
      <c r="V27" s="51">
        <v>0</v>
      </c>
      <c r="W27" s="51">
        <v>0</v>
      </c>
      <c r="X27" s="51">
        <v>0</v>
      </c>
      <c r="Y27" s="51">
        <v>0</v>
      </c>
      <c r="Z27" s="51">
        <v>0</v>
      </c>
      <c r="AA27" s="51">
        <v>0</v>
      </c>
      <c r="AB27" s="51">
        <v>0</v>
      </c>
      <c r="AC27" s="51">
        <v>0</v>
      </c>
      <c r="AD27" s="51">
        <v>0</v>
      </c>
      <c r="AE27" s="51">
        <v>0</v>
      </c>
    </row>
    <row r="28" spans="1:31" ht="26.15" customHeight="1" x14ac:dyDescent="0.45">
      <c r="A28" s="57">
        <v>25</v>
      </c>
      <c r="B28" s="42"/>
      <c r="C28" s="44" t="s">
        <v>19</v>
      </c>
      <c r="D28" s="44"/>
      <c r="F28" s="56"/>
      <c r="G28" s="56"/>
      <c r="H28" s="56"/>
      <c r="I28" s="56"/>
      <c r="J28" s="56"/>
      <c r="K28" s="56"/>
      <c r="L28" s="56"/>
      <c r="M28" s="56"/>
      <c r="N28" s="56"/>
      <c r="O28" s="56"/>
      <c r="P28" s="56"/>
      <c r="Q28" s="56"/>
      <c r="R28" s="56"/>
      <c r="S28" s="56"/>
      <c r="T28" s="56"/>
      <c r="U28" s="56"/>
      <c r="V28" s="56"/>
      <c r="W28" s="56"/>
      <c r="X28" s="56"/>
      <c r="Y28" s="99"/>
      <c r="Z28" s="56"/>
      <c r="AA28" s="56"/>
      <c r="AB28" s="56"/>
      <c r="AC28" s="56"/>
      <c r="AD28" s="56"/>
      <c r="AE28" s="56"/>
    </row>
    <row r="29" spans="1:31" ht="18" customHeight="1" x14ac:dyDescent="0.35">
      <c r="A29" s="57">
        <v>26</v>
      </c>
      <c r="D29" s="45" t="s">
        <v>9</v>
      </c>
      <c r="E29" s="45" t="s">
        <v>30</v>
      </c>
      <c r="F29" s="52">
        <f t="shared" ref="F29:K29" si="12">F30+F31+F35+F36</f>
        <v>79317.857541053105</v>
      </c>
      <c r="G29" s="52">
        <f t="shared" si="12"/>
        <v>84682.462548847252</v>
      </c>
      <c r="H29" s="52">
        <f t="shared" si="12"/>
        <v>94106.778101149423</v>
      </c>
      <c r="I29" s="52">
        <f t="shared" si="12"/>
        <v>102600.89926120214</v>
      </c>
      <c r="J29" s="52">
        <f t="shared" si="12"/>
        <v>107060.64789610989</v>
      </c>
      <c r="K29" s="52">
        <f t="shared" si="12"/>
        <v>110309.17284892008</v>
      </c>
      <c r="L29" s="52">
        <f t="shared" ref="L29:AB29" si="13">L30+L31+L35+L36</f>
        <v>110896.56091400534</v>
      </c>
      <c r="M29" s="52">
        <f t="shared" si="13"/>
        <v>111435.09276969824</v>
      </c>
      <c r="N29" s="52">
        <f t="shared" si="13"/>
        <v>113445.53108968638</v>
      </c>
      <c r="O29" s="52">
        <f t="shared" si="13"/>
        <v>117529.42940417118</v>
      </c>
      <c r="P29" s="52">
        <f t="shared" si="13"/>
        <v>120931.2441039582</v>
      </c>
      <c r="Q29" s="52">
        <f t="shared" si="13"/>
        <v>124321.43689693185</v>
      </c>
      <c r="R29" s="52">
        <f t="shared" si="13"/>
        <v>128648.42851092329</v>
      </c>
      <c r="S29" s="52">
        <f t="shared" si="13"/>
        <v>133740.87664212874</v>
      </c>
      <c r="T29" s="52">
        <f t="shared" si="13"/>
        <v>139385.52086412083</v>
      </c>
      <c r="U29" s="52">
        <f t="shared" si="13"/>
        <v>145790.54183866997</v>
      </c>
      <c r="V29" s="52">
        <f t="shared" si="13"/>
        <v>157950.4131658051</v>
      </c>
      <c r="W29" s="52">
        <f t="shared" si="13"/>
        <v>160765.66241897226</v>
      </c>
      <c r="X29" s="52">
        <f t="shared" si="13"/>
        <v>166455.44682340903</v>
      </c>
      <c r="Y29" s="52">
        <f t="shared" si="13"/>
        <v>170080.06395967538</v>
      </c>
      <c r="Z29" s="52">
        <f t="shared" si="13"/>
        <v>175056.69286041218</v>
      </c>
      <c r="AA29" s="52">
        <f t="shared" si="13"/>
        <v>181844.29362870942</v>
      </c>
      <c r="AB29" s="52">
        <f t="shared" si="13"/>
        <v>187645.02707687143</v>
      </c>
      <c r="AC29" s="52">
        <f t="shared" ref="AC29" si="14">AC30+AC31+AC35+AC36</f>
        <v>191071.86160343952</v>
      </c>
      <c r="AD29" s="52">
        <v>195784.55540321558</v>
      </c>
      <c r="AE29" s="52">
        <v>200310.8450668866</v>
      </c>
    </row>
    <row r="30" spans="1:31" x14ac:dyDescent="0.35">
      <c r="A30" s="57">
        <v>27</v>
      </c>
      <c r="D30" s="46" t="s">
        <v>10</v>
      </c>
      <c r="E30" s="46" t="s">
        <v>18</v>
      </c>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row>
    <row r="31" spans="1:31" x14ac:dyDescent="0.35">
      <c r="A31" s="57">
        <v>28</v>
      </c>
      <c r="D31" s="46" t="s">
        <v>11</v>
      </c>
      <c r="E31" s="46" t="s">
        <v>0</v>
      </c>
      <c r="F31" s="54">
        <f t="shared" ref="F31:K31" si="15">SUM(F32:F34)</f>
        <v>259.67858280999997</v>
      </c>
      <c r="G31" s="54">
        <f t="shared" si="15"/>
        <v>259.99394565</v>
      </c>
      <c r="H31" s="54">
        <f t="shared" si="15"/>
        <v>206.08603214999999</v>
      </c>
      <c r="I31" s="54">
        <f t="shared" si="15"/>
        <v>362.63070268000001</v>
      </c>
      <c r="J31" s="54">
        <f t="shared" si="15"/>
        <v>293.81646710000001</v>
      </c>
      <c r="K31" s="54">
        <f t="shared" si="15"/>
        <v>305.62403059999997</v>
      </c>
      <c r="L31" s="54">
        <f t="shared" ref="L31:AB31" si="16">SUM(L32:L34)</f>
        <v>302.04995210000004</v>
      </c>
      <c r="M31" s="54">
        <f t="shared" si="16"/>
        <v>298.6441231</v>
      </c>
      <c r="N31" s="54">
        <f t="shared" si="16"/>
        <v>191.14136509999997</v>
      </c>
      <c r="O31" s="54">
        <f t="shared" si="16"/>
        <v>197.87807860000001</v>
      </c>
      <c r="P31" s="54">
        <f t="shared" si="16"/>
        <v>210.49899300000001</v>
      </c>
      <c r="Q31" s="54">
        <f t="shared" si="16"/>
        <v>259.33767992000003</v>
      </c>
      <c r="R31" s="54">
        <f t="shared" si="16"/>
        <v>271.42578271999997</v>
      </c>
      <c r="S31" s="54">
        <f t="shared" si="16"/>
        <v>299.34471922</v>
      </c>
      <c r="T31" s="54">
        <f t="shared" si="16"/>
        <v>315.84390480000002</v>
      </c>
      <c r="U31" s="54">
        <f t="shared" si="16"/>
        <v>302.38601812000002</v>
      </c>
      <c r="V31" s="54">
        <f t="shared" si="16"/>
        <v>255.20859799999999</v>
      </c>
      <c r="W31" s="54">
        <f t="shared" si="16"/>
        <v>309.07220697000002</v>
      </c>
      <c r="X31" s="54">
        <f t="shared" si="16"/>
        <v>310.16036601999997</v>
      </c>
      <c r="Y31" s="54">
        <f t="shared" si="16"/>
        <v>317.81597735999992</v>
      </c>
      <c r="Z31" s="54">
        <f t="shared" si="16"/>
        <v>303.42893975000004</v>
      </c>
      <c r="AA31" s="54">
        <f t="shared" si="16"/>
        <v>312.55016624000007</v>
      </c>
      <c r="AB31" s="54">
        <f t="shared" si="16"/>
        <v>309.87276495999998</v>
      </c>
      <c r="AC31" s="54">
        <f t="shared" ref="AC31" si="17">SUM(AC32:AC34)</f>
        <v>305.28696550999996</v>
      </c>
      <c r="AD31" s="54">
        <v>298.83986169000002</v>
      </c>
      <c r="AE31" s="54">
        <v>298.12265330000002</v>
      </c>
    </row>
    <row r="32" spans="1:31" x14ac:dyDescent="0.35">
      <c r="A32" s="57">
        <v>29</v>
      </c>
      <c r="D32" s="47" t="s">
        <v>21</v>
      </c>
      <c r="E32" s="47" t="s">
        <v>20</v>
      </c>
      <c r="F32" s="55">
        <v>158.56760030000001</v>
      </c>
      <c r="G32" s="55">
        <v>161.136662</v>
      </c>
      <c r="H32" s="55">
        <v>102.542929</v>
      </c>
      <c r="I32" s="55">
        <v>102.49736900000001</v>
      </c>
      <c r="J32" s="55">
        <v>106.487375</v>
      </c>
      <c r="K32" s="55">
        <v>106.487375</v>
      </c>
      <c r="L32" s="55">
        <v>106.487375</v>
      </c>
      <c r="M32" s="55">
        <v>106.888875</v>
      </c>
      <c r="N32" s="55">
        <v>21.881316999999999</v>
      </c>
      <c r="O32" s="55">
        <v>21.858438</v>
      </c>
      <c r="P32" s="55">
        <v>21.858438</v>
      </c>
      <c r="Q32" s="55">
        <v>21.852557999999998</v>
      </c>
      <c r="R32" s="55">
        <v>21.799461999999998</v>
      </c>
      <c r="S32" s="55">
        <v>21.799461999999998</v>
      </c>
      <c r="T32" s="55">
        <v>19.018694</v>
      </c>
      <c r="U32" s="55">
        <v>19.018694</v>
      </c>
      <c r="V32" s="55">
        <v>19.018694</v>
      </c>
      <c r="W32" s="55">
        <v>19.018694</v>
      </c>
      <c r="X32" s="55">
        <v>19.018694</v>
      </c>
      <c r="Y32" s="55">
        <v>19.041573</v>
      </c>
      <c r="Z32" s="55">
        <v>21.673486</v>
      </c>
      <c r="AA32" s="55">
        <v>19.018694</v>
      </c>
      <c r="AB32" s="55">
        <v>19.018694</v>
      </c>
      <c r="AC32" s="55">
        <v>19.018694</v>
      </c>
      <c r="AD32" s="55">
        <v>19.018694</v>
      </c>
      <c r="AE32" s="55">
        <v>21.056441</v>
      </c>
    </row>
    <row r="33" spans="1:31" x14ac:dyDescent="0.35">
      <c r="A33" s="57">
        <v>30</v>
      </c>
      <c r="D33" s="47" t="s">
        <v>12</v>
      </c>
      <c r="E33" s="47" t="s">
        <v>22</v>
      </c>
      <c r="F33" s="55">
        <v>7.353244000000001</v>
      </c>
      <c r="G33" s="55">
        <v>8.6551189999999885</v>
      </c>
      <c r="H33" s="55">
        <v>12.895189999999985</v>
      </c>
      <c r="I33" s="55">
        <v>16.425734000000006</v>
      </c>
      <c r="J33" s="55">
        <v>60.347387999999995</v>
      </c>
      <c r="K33" s="55">
        <v>60.880741999999998</v>
      </c>
      <c r="L33" s="55">
        <v>53.440734999999989</v>
      </c>
      <c r="M33" s="55">
        <v>48.917406</v>
      </c>
      <c r="N33" s="55">
        <v>27.929925999999995</v>
      </c>
      <c r="O33" s="55">
        <v>27.671546000000006</v>
      </c>
      <c r="P33" s="55">
        <v>33.401168000000013</v>
      </c>
      <c r="Q33" s="55">
        <v>47.694446999999997</v>
      </c>
      <c r="R33" s="55">
        <v>56.813891999999996</v>
      </c>
      <c r="S33" s="55">
        <v>84.929952999999998</v>
      </c>
      <c r="T33" s="55">
        <v>104.033333</v>
      </c>
      <c r="U33" s="55">
        <v>112.52333299999999</v>
      </c>
      <c r="V33" s="55">
        <v>98.944785000000024</v>
      </c>
      <c r="W33" s="55">
        <v>124.46308400000001</v>
      </c>
      <c r="X33" s="55">
        <v>111.63052200000003</v>
      </c>
      <c r="Y33" s="55">
        <v>105.46644199999997</v>
      </c>
      <c r="Z33" s="55">
        <v>83.31923500000002</v>
      </c>
      <c r="AA33" s="55">
        <v>93.751662000000024</v>
      </c>
      <c r="AB33" s="55">
        <v>88.743964000000005</v>
      </c>
      <c r="AC33" s="55">
        <v>80.796257000000011</v>
      </c>
      <c r="AD33" s="55">
        <v>69.031392999999994</v>
      </c>
      <c r="AE33" s="55">
        <v>69.175893000000016</v>
      </c>
    </row>
    <row r="34" spans="1:31" x14ac:dyDescent="0.35">
      <c r="A34" s="57">
        <v>31</v>
      </c>
      <c r="D34" s="47" t="s">
        <v>13</v>
      </c>
      <c r="E34" s="47" t="s">
        <v>23</v>
      </c>
      <c r="F34" s="55">
        <v>93.757738509999996</v>
      </c>
      <c r="G34" s="55">
        <v>90.202164650000014</v>
      </c>
      <c r="H34" s="55">
        <v>90.647913150000008</v>
      </c>
      <c r="I34" s="55">
        <v>243.70759967999999</v>
      </c>
      <c r="J34" s="55">
        <v>126.9817041</v>
      </c>
      <c r="K34" s="55">
        <v>138.25591359999999</v>
      </c>
      <c r="L34" s="55">
        <v>142.12184210000001</v>
      </c>
      <c r="M34" s="55">
        <v>142.83784209999999</v>
      </c>
      <c r="N34" s="55">
        <v>141.33012209999998</v>
      </c>
      <c r="O34" s="55">
        <v>148.3480946</v>
      </c>
      <c r="P34" s="55">
        <v>155.23938699999999</v>
      </c>
      <c r="Q34" s="55">
        <v>189.79067492000001</v>
      </c>
      <c r="R34" s="55">
        <v>192.81242871999999</v>
      </c>
      <c r="S34" s="55">
        <v>192.61530422000001</v>
      </c>
      <c r="T34" s="55">
        <v>192.79187780000001</v>
      </c>
      <c r="U34" s="55">
        <v>170.84399112</v>
      </c>
      <c r="V34" s="55">
        <v>137.24511899999999</v>
      </c>
      <c r="W34" s="55">
        <v>165.59042897</v>
      </c>
      <c r="X34" s="55">
        <v>179.51115001999997</v>
      </c>
      <c r="Y34" s="55">
        <v>193.30796235999998</v>
      </c>
      <c r="Z34" s="55">
        <v>198.43621874999999</v>
      </c>
      <c r="AA34" s="55">
        <v>199.77981024000002</v>
      </c>
      <c r="AB34" s="55">
        <v>202.11010695999997</v>
      </c>
      <c r="AC34" s="55">
        <v>205.47201450999998</v>
      </c>
      <c r="AD34" s="55">
        <v>210.78977469</v>
      </c>
      <c r="AE34" s="55">
        <v>207.89031930000002</v>
      </c>
    </row>
    <row r="35" spans="1:31" x14ac:dyDescent="0.35">
      <c r="A35" s="57">
        <v>32</v>
      </c>
      <c r="D35" s="46" t="s">
        <v>1</v>
      </c>
      <c r="E35" s="46" t="s">
        <v>24</v>
      </c>
      <c r="F35" s="54">
        <v>34763.300000000003</v>
      </c>
      <c r="G35" s="54">
        <v>35544.5</v>
      </c>
      <c r="H35" s="54">
        <v>34412.6</v>
      </c>
      <c r="I35" s="54">
        <v>35814.400000000001</v>
      </c>
      <c r="J35" s="54">
        <v>30546.1</v>
      </c>
      <c r="K35" s="54">
        <v>28921.024999999998</v>
      </c>
      <c r="L35" s="54">
        <v>27295.949999999997</v>
      </c>
      <c r="M35" s="54">
        <v>25670.875</v>
      </c>
      <c r="N35" s="54">
        <v>24045.8</v>
      </c>
      <c r="O35" s="54">
        <v>24273.9</v>
      </c>
      <c r="P35" s="54">
        <v>24502</v>
      </c>
      <c r="Q35" s="54">
        <v>24730.1</v>
      </c>
      <c r="R35" s="54">
        <v>24958.2</v>
      </c>
      <c r="S35" s="54">
        <v>26440.55</v>
      </c>
      <c r="T35" s="54">
        <v>27922.9</v>
      </c>
      <c r="U35" s="54">
        <v>29405.25</v>
      </c>
      <c r="V35" s="54">
        <v>30887.599999999999</v>
      </c>
      <c r="W35" s="54">
        <v>33414.6</v>
      </c>
      <c r="X35" s="54">
        <v>35941.599999999999</v>
      </c>
      <c r="Y35" s="54">
        <v>38468.6</v>
      </c>
      <c r="Z35" s="54">
        <v>40995.599999999999</v>
      </c>
      <c r="AA35" s="54">
        <v>43519.719137060689</v>
      </c>
      <c r="AB35" s="54">
        <v>46049.465437399922</v>
      </c>
      <c r="AC35" s="54">
        <v>48650.241442601895</v>
      </c>
      <c r="AD35" s="54">
        <v>51220.155677654082</v>
      </c>
      <c r="AE35" s="54">
        <v>53666.503748311894</v>
      </c>
    </row>
    <row r="36" spans="1:31" x14ac:dyDescent="0.35">
      <c r="A36" s="57">
        <v>33</v>
      </c>
      <c r="D36" s="46" t="s">
        <v>25</v>
      </c>
      <c r="E36" s="46" t="s">
        <v>26</v>
      </c>
      <c r="F36" s="54">
        <v>44294.878958243105</v>
      </c>
      <c r="G36" s="54">
        <v>48877.968603197245</v>
      </c>
      <c r="H36" s="54">
        <v>59488.092068999416</v>
      </c>
      <c r="I36" s="54">
        <v>66423.868558522139</v>
      </c>
      <c r="J36" s="54">
        <v>76220.731429009888</v>
      </c>
      <c r="K36" s="54">
        <v>81082.523818320085</v>
      </c>
      <c r="L36" s="54">
        <v>83298.560961905343</v>
      </c>
      <c r="M36" s="54">
        <v>85465.573646598248</v>
      </c>
      <c r="N36" s="54">
        <v>89208.589724586374</v>
      </c>
      <c r="O36" s="54">
        <v>93057.651325571176</v>
      </c>
      <c r="P36" s="54">
        <v>96218.745110958203</v>
      </c>
      <c r="Q36" s="54">
        <v>99331.999217011849</v>
      </c>
      <c r="R36" s="54">
        <v>103418.80272820329</v>
      </c>
      <c r="S36" s="54">
        <v>107000.98192290873</v>
      </c>
      <c r="T36" s="54">
        <v>111146.77695932084</v>
      </c>
      <c r="U36" s="54">
        <v>116082.90582054996</v>
      </c>
      <c r="V36" s="54">
        <v>126807.6045678051</v>
      </c>
      <c r="W36" s="54">
        <v>127041.99021200227</v>
      </c>
      <c r="X36" s="54">
        <v>130203.68645738903</v>
      </c>
      <c r="Y36" s="54">
        <v>131293.64798231539</v>
      </c>
      <c r="Z36" s="54">
        <v>133757.66392066216</v>
      </c>
      <c r="AA36" s="54">
        <v>138012.02432540874</v>
      </c>
      <c r="AB36" s="54">
        <v>141285.68887451151</v>
      </c>
      <c r="AC36" s="54">
        <v>142116.33319532764</v>
      </c>
      <c r="AD36" s="54">
        <v>144265.55986387149</v>
      </c>
      <c r="AE36" s="54">
        <v>146346.2186652747</v>
      </c>
    </row>
    <row r="37" spans="1:31" ht="15.5" x14ac:dyDescent="0.35">
      <c r="A37" s="57">
        <v>34</v>
      </c>
      <c r="D37" s="45" t="s">
        <v>15</v>
      </c>
      <c r="E37" s="45" t="s">
        <v>17</v>
      </c>
      <c r="F37" s="52">
        <v>16502.180284414113</v>
      </c>
      <c r="G37" s="52">
        <v>18795.290745211048</v>
      </c>
      <c r="H37" s="52">
        <v>24323.281677850853</v>
      </c>
      <c r="I37" s="52">
        <v>29194.858431431247</v>
      </c>
      <c r="J37" s="52">
        <v>35397.172666600149</v>
      </c>
      <c r="K37" s="52">
        <v>34586.453164335588</v>
      </c>
      <c r="L37" s="52">
        <v>35136.761814106627</v>
      </c>
      <c r="M37" s="52">
        <v>35756.937155652515</v>
      </c>
      <c r="N37" s="52">
        <v>34229.776007205197</v>
      </c>
      <c r="O37" s="52">
        <v>34158.161652476905</v>
      </c>
      <c r="P37" s="52">
        <v>35063.474261988289</v>
      </c>
      <c r="Q37" s="52">
        <v>36000.911498027359</v>
      </c>
      <c r="R37" s="52">
        <v>35584.314453703832</v>
      </c>
      <c r="S37" s="52">
        <v>37747.028584374661</v>
      </c>
      <c r="T37" s="52">
        <v>39115.996977813134</v>
      </c>
      <c r="U37" s="52">
        <v>39386.447770344319</v>
      </c>
      <c r="V37" s="52">
        <v>39520.819527922271</v>
      </c>
      <c r="W37" s="52">
        <v>41423.531015115601</v>
      </c>
      <c r="X37" s="52">
        <v>41590.9580015561</v>
      </c>
      <c r="Y37" s="52">
        <v>43034.601158254423</v>
      </c>
      <c r="Z37" s="52">
        <v>40796.043234608587</v>
      </c>
      <c r="AA37" s="52">
        <v>40413.229655257433</v>
      </c>
      <c r="AB37" s="52">
        <v>40662.252653684831</v>
      </c>
      <c r="AC37" s="52">
        <v>42868.215286643754</v>
      </c>
      <c r="AD37" s="52">
        <v>43191.533628744044</v>
      </c>
      <c r="AE37" s="52">
        <v>43208.442148574904</v>
      </c>
    </row>
    <row r="38" spans="1:31" ht="9" customHeight="1" x14ac:dyDescent="0.35">
      <c r="A38" s="57">
        <v>35</v>
      </c>
      <c r="D38" s="49"/>
      <c r="E38" s="49"/>
      <c r="F38" s="51">
        <v>0</v>
      </c>
      <c r="G38" s="51">
        <v>0</v>
      </c>
      <c r="H38" s="51">
        <v>0</v>
      </c>
      <c r="I38" s="51">
        <v>0</v>
      </c>
      <c r="J38" s="51">
        <v>0</v>
      </c>
      <c r="K38" s="51">
        <v>0</v>
      </c>
      <c r="L38" s="51">
        <v>0</v>
      </c>
      <c r="M38" s="51">
        <v>0</v>
      </c>
      <c r="N38" s="51">
        <v>0</v>
      </c>
      <c r="O38" s="51">
        <v>0</v>
      </c>
      <c r="P38" s="51">
        <v>0</v>
      </c>
      <c r="Q38" s="51">
        <v>0</v>
      </c>
      <c r="R38" s="51">
        <v>0</v>
      </c>
      <c r="S38" s="51">
        <v>0</v>
      </c>
      <c r="T38" s="51">
        <v>0</v>
      </c>
      <c r="U38" s="51">
        <v>0</v>
      </c>
      <c r="V38" s="51">
        <v>0</v>
      </c>
      <c r="W38" s="51">
        <v>0</v>
      </c>
      <c r="X38" s="51">
        <v>0</v>
      </c>
      <c r="Y38" s="51">
        <v>0</v>
      </c>
      <c r="Z38" s="51">
        <v>0</v>
      </c>
      <c r="AA38" s="51">
        <v>0</v>
      </c>
      <c r="AB38" s="51">
        <v>0</v>
      </c>
      <c r="AC38" s="51">
        <v>0</v>
      </c>
      <c r="AD38" s="51">
        <v>0</v>
      </c>
      <c r="AE38" s="51">
        <v>0</v>
      </c>
    </row>
    <row r="39" spans="1:31" ht="35.15" customHeight="1" x14ac:dyDescent="0.45">
      <c r="A39" s="57">
        <v>36</v>
      </c>
      <c r="B39" s="50" t="s">
        <v>28</v>
      </c>
      <c r="C39" s="42"/>
      <c r="D39" s="42"/>
      <c r="F39" s="56"/>
      <c r="G39" s="56"/>
      <c r="H39" s="56"/>
      <c r="I39" s="56"/>
      <c r="J39" s="56"/>
      <c r="K39" s="56"/>
      <c r="L39" s="56"/>
      <c r="M39" s="56"/>
      <c r="N39" s="56"/>
      <c r="O39" s="56"/>
      <c r="P39" s="56"/>
      <c r="Q39" s="56"/>
      <c r="R39" s="56"/>
      <c r="S39" s="56"/>
      <c r="T39" s="56"/>
      <c r="U39" s="99"/>
      <c r="V39" s="99"/>
      <c r="W39" s="99"/>
      <c r="X39" s="56"/>
      <c r="Y39" s="56"/>
      <c r="Z39" s="56"/>
      <c r="AA39" s="56"/>
      <c r="AB39" s="56"/>
      <c r="AC39" s="56"/>
      <c r="AD39" s="56"/>
      <c r="AE39" s="56"/>
    </row>
    <row r="40" spans="1:31" ht="26.15" customHeight="1" x14ac:dyDescent="0.45">
      <c r="A40" s="57">
        <v>37</v>
      </c>
      <c r="B40" s="42"/>
      <c r="C40" s="44" t="s">
        <v>6</v>
      </c>
      <c r="D40" s="44"/>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row>
    <row r="41" spans="1:31" ht="18" customHeight="1" x14ac:dyDescent="0.35">
      <c r="A41" s="57">
        <v>38</v>
      </c>
      <c r="D41" s="45" t="s">
        <v>9</v>
      </c>
      <c r="E41" s="45" t="s">
        <v>30</v>
      </c>
      <c r="F41" s="52">
        <f t="shared" ref="F41:Q41" si="18">F42+F43+F47+F48</f>
        <v>82287.817631637707</v>
      </c>
      <c r="G41" s="52">
        <f t="shared" si="18"/>
        <v>92359.760480496596</v>
      </c>
      <c r="H41" s="52">
        <f t="shared" si="18"/>
        <v>103210.98873029002</v>
      </c>
      <c r="I41" s="52">
        <f t="shared" si="18"/>
        <v>114105.30313108</v>
      </c>
      <c r="J41" s="52">
        <f t="shared" si="18"/>
        <v>120945.77345825</v>
      </c>
      <c r="K41" s="52">
        <f t="shared" si="18"/>
        <v>123558.82759759</v>
      </c>
      <c r="L41" s="52">
        <f t="shared" si="18"/>
        <v>127012.11559939</v>
      </c>
      <c r="M41" s="52">
        <f t="shared" si="18"/>
        <v>135360.21384723001</v>
      </c>
      <c r="N41" s="52">
        <f t="shared" si="18"/>
        <v>144810.33121475999</v>
      </c>
      <c r="O41" s="52">
        <f t="shared" si="18"/>
        <v>145077.54316289001</v>
      </c>
      <c r="P41" s="52">
        <f t="shared" si="18"/>
        <v>150844.27476603998</v>
      </c>
      <c r="Q41" s="52">
        <f t="shared" si="18"/>
        <v>154859.06576031999</v>
      </c>
      <c r="R41" s="52">
        <f t="shared" ref="R41" si="19">R42+R43+R47+R48</f>
        <v>161817.13868069</v>
      </c>
      <c r="S41" s="52">
        <f t="shared" ref="S41:AB41" si="20">S42+S43+S47+S48</f>
        <v>154329.01134805998</v>
      </c>
      <c r="T41" s="52">
        <f t="shared" si="20"/>
        <v>159379.04045894998</v>
      </c>
      <c r="U41" s="52">
        <f t="shared" si="20"/>
        <v>175209.54953170998</v>
      </c>
      <c r="V41" s="52">
        <f t="shared" si="20"/>
        <v>177401.14591403</v>
      </c>
      <c r="W41" s="52">
        <f t="shared" si="20"/>
        <v>180693.27786919</v>
      </c>
      <c r="X41" s="52">
        <f t="shared" si="20"/>
        <v>191712.31891084998</v>
      </c>
      <c r="Y41" s="52">
        <f t="shared" si="20"/>
        <v>195390.66804619</v>
      </c>
      <c r="Z41" s="52">
        <f t="shared" si="20"/>
        <v>205745.85759560001</v>
      </c>
      <c r="AA41" s="52">
        <f t="shared" si="20"/>
        <v>209687.31325762533</v>
      </c>
      <c r="AB41" s="52">
        <f t="shared" si="20"/>
        <v>214728.31130773999</v>
      </c>
      <c r="AC41" s="52">
        <f t="shared" ref="AC41" si="21">AC42+AC43+AC47+AC48</f>
        <v>220202.73619877</v>
      </c>
      <c r="AD41" s="52">
        <v>224867.66689173001</v>
      </c>
      <c r="AE41" s="52">
        <v>223774.35646233</v>
      </c>
    </row>
    <row r="42" spans="1:31" x14ac:dyDescent="0.35">
      <c r="A42" s="57">
        <v>39</v>
      </c>
      <c r="D42" s="46" t="s">
        <v>10</v>
      </c>
      <c r="E42" s="46" t="s">
        <v>18</v>
      </c>
      <c r="F42" s="54">
        <v>15317.153784899501</v>
      </c>
      <c r="G42" s="54">
        <v>17753.248548940501</v>
      </c>
      <c r="H42" s="54">
        <v>21274.02894</v>
      </c>
      <c r="I42" s="54">
        <v>24882.642119999997</v>
      </c>
      <c r="J42" s="54">
        <v>25555.353722536696</v>
      </c>
      <c r="K42" s="54">
        <v>26892.915912333632</v>
      </c>
      <c r="L42" s="54">
        <v>28706.438396582387</v>
      </c>
      <c r="M42" s="54">
        <v>30865.956632754365</v>
      </c>
      <c r="N42" s="54">
        <v>32703.209880714832</v>
      </c>
      <c r="O42" s="54">
        <v>33584.975997624097</v>
      </c>
      <c r="P42" s="54">
        <v>35083.274399153612</v>
      </c>
      <c r="Q42" s="54">
        <v>36708.491041567293</v>
      </c>
      <c r="R42" s="54">
        <v>38062.266948999997</v>
      </c>
      <c r="S42" s="54">
        <v>38010.196120749999</v>
      </c>
      <c r="T42" s="54">
        <v>38828.713560499993</v>
      </c>
      <c r="U42" s="54">
        <v>39379.600360249984</v>
      </c>
      <c r="V42" s="54">
        <v>42257.788822000002</v>
      </c>
      <c r="W42" s="54">
        <v>45178.22610575</v>
      </c>
      <c r="X42" s="54">
        <v>48089.433084850003</v>
      </c>
      <c r="Y42" s="54">
        <v>51283.476898339999</v>
      </c>
      <c r="Z42" s="54">
        <v>55217.730671339996</v>
      </c>
      <c r="AA42" s="54">
        <v>55158.282758293462</v>
      </c>
      <c r="AB42" s="54">
        <v>57241.258354514175</v>
      </c>
      <c r="AC42" s="54">
        <v>59131.541223162516</v>
      </c>
      <c r="AD42" s="54">
        <v>61869.113675797009</v>
      </c>
      <c r="AE42" s="54">
        <v>64659.895283202306</v>
      </c>
    </row>
    <row r="43" spans="1:31" x14ac:dyDescent="0.35">
      <c r="A43" s="57">
        <v>40</v>
      </c>
      <c r="D43" s="46" t="s">
        <v>11</v>
      </c>
      <c r="E43" s="46" t="s">
        <v>0</v>
      </c>
      <c r="F43" s="54">
        <f t="shared" ref="F43:Q43" si="22">SUM(F44:F46)</f>
        <v>15862.769547375299</v>
      </c>
      <c r="G43" s="54">
        <f t="shared" si="22"/>
        <v>17528.658721939999</v>
      </c>
      <c r="H43" s="54">
        <f t="shared" si="22"/>
        <v>19380.253365850003</v>
      </c>
      <c r="I43" s="54">
        <f t="shared" si="22"/>
        <v>23628.660976209998</v>
      </c>
      <c r="J43" s="54">
        <f t="shared" si="22"/>
        <v>25039.160485789998</v>
      </c>
      <c r="K43" s="54">
        <f t="shared" si="22"/>
        <v>25671.277050589997</v>
      </c>
      <c r="L43" s="54">
        <f t="shared" si="22"/>
        <v>22553.574591329998</v>
      </c>
      <c r="M43" s="54">
        <f t="shared" si="22"/>
        <v>24594.036874549998</v>
      </c>
      <c r="N43" s="54">
        <f t="shared" si="22"/>
        <v>27136.086991959997</v>
      </c>
      <c r="O43" s="54">
        <f t="shared" si="22"/>
        <v>25814.339788540005</v>
      </c>
      <c r="P43" s="54">
        <f t="shared" si="22"/>
        <v>25018.589162200002</v>
      </c>
      <c r="Q43" s="54">
        <f t="shared" si="22"/>
        <v>27041.234648810001</v>
      </c>
      <c r="R43" s="54">
        <f t="shared" ref="R43" si="23">SUM(R44:R46)</f>
        <v>27562.867788629999</v>
      </c>
      <c r="S43" s="54">
        <f t="shared" ref="S43:AB43" si="24">SUM(S44:S46)</f>
        <v>30523.882787959999</v>
      </c>
      <c r="T43" s="54">
        <f t="shared" si="24"/>
        <v>33281.049960889999</v>
      </c>
      <c r="U43" s="54">
        <f t="shared" si="24"/>
        <v>42404.060503489993</v>
      </c>
      <c r="V43" s="54">
        <f t="shared" si="24"/>
        <v>42191.627683229999</v>
      </c>
      <c r="W43" s="54">
        <f t="shared" si="24"/>
        <v>43026.526180579996</v>
      </c>
      <c r="X43" s="54">
        <f t="shared" si="24"/>
        <v>44979.201093590003</v>
      </c>
      <c r="Y43" s="54">
        <f t="shared" si="24"/>
        <v>44152.992987850004</v>
      </c>
      <c r="Z43" s="54">
        <f t="shared" si="24"/>
        <v>45989.466887390008</v>
      </c>
      <c r="AA43" s="54">
        <f t="shared" si="24"/>
        <v>45380.245501439989</v>
      </c>
      <c r="AB43" s="54">
        <f t="shared" si="24"/>
        <v>45755.556190369993</v>
      </c>
      <c r="AC43" s="54">
        <f t="shared" ref="AC43" si="25">SUM(AC44:AC46)</f>
        <v>43662.871437480011</v>
      </c>
      <c r="AD43" s="54">
        <v>40375.758429870002</v>
      </c>
      <c r="AE43" s="54">
        <v>37240.85367995</v>
      </c>
    </row>
    <row r="44" spans="1:31" x14ac:dyDescent="0.35">
      <c r="A44" s="57">
        <v>41</v>
      </c>
      <c r="D44" s="47" t="s">
        <v>21</v>
      </c>
      <c r="E44" s="47" t="s">
        <v>20</v>
      </c>
      <c r="F44" s="55">
        <v>14329.645288669999</v>
      </c>
      <c r="G44" s="55">
        <v>16009.150177269998</v>
      </c>
      <c r="H44" s="55">
        <v>17926.700298980002</v>
      </c>
      <c r="I44" s="55">
        <v>22354.416423210001</v>
      </c>
      <c r="J44" s="55">
        <v>23887.600555479999</v>
      </c>
      <c r="K44" s="55">
        <v>24478.981317359998</v>
      </c>
      <c r="L44" s="55">
        <v>21178.882799199997</v>
      </c>
      <c r="M44" s="55">
        <v>23269.141427469996</v>
      </c>
      <c r="N44" s="55">
        <v>25838.163132199996</v>
      </c>
      <c r="O44" s="55">
        <v>24566.347355470003</v>
      </c>
      <c r="P44" s="55">
        <v>23730.231871610002</v>
      </c>
      <c r="Q44" s="55">
        <v>25250.538566020001</v>
      </c>
      <c r="R44" s="55">
        <v>25856.15268367</v>
      </c>
      <c r="S44" s="55">
        <v>28311.415503759999</v>
      </c>
      <c r="T44" s="55">
        <v>31322.464078779998</v>
      </c>
      <c r="U44" s="55">
        <v>40591.616363129993</v>
      </c>
      <c r="V44" s="55">
        <v>40587.744999120005</v>
      </c>
      <c r="W44" s="55">
        <v>41381.280536399994</v>
      </c>
      <c r="X44" s="55">
        <v>43078.966891119999</v>
      </c>
      <c r="Y44" s="55">
        <v>42408.032656100004</v>
      </c>
      <c r="Z44" s="55">
        <v>43810.698500190003</v>
      </c>
      <c r="AA44" s="55">
        <v>43237.769830749989</v>
      </c>
      <c r="AB44" s="55">
        <v>43706.930964319996</v>
      </c>
      <c r="AC44" s="55">
        <v>41418.529258310009</v>
      </c>
      <c r="AD44" s="55">
        <v>38447.928734119996</v>
      </c>
      <c r="AE44" s="55">
        <v>34881.942392860001</v>
      </c>
    </row>
    <row r="45" spans="1:31" x14ac:dyDescent="0.35">
      <c r="A45" s="57">
        <v>42</v>
      </c>
      <c r="D45" s="47" t="s">
        <v>12</v>
      </c>
      <c r="E45" s="47" t="s">
        <v>22</v>
      </c>
      <c r="F45" s="55">
        <v>772.21616363529984</v>
      </c>
      <c r="G45" s="55">
        <v>777.14250843000002</v>
      </c>
      <c r="H45" s="55">
        <v>776.89532824999992</v>
      </c>
      <c r="I45" s="55">
        <v>763.96141564000004</v>
      </c>
      <c r="J45" s="55">
        <v>574.46596683999985</v>
      </c>
      <c r="K45" s="55">
        <v>640.86146680000002</v>
      </c>
      <c r="L45" s="55">
        <v>802.37824975000012</v>
      </c>
      <c r="M45" s="55">
        <v>751.95336378000002</v>
      </c>
      <c r="N45" s="55">
        <v>750.05310037000004</v>
      </c>
      <c r="O45" s="55">
        <v>716.02894937000019</v>
      </c>
      <c r="P45" s="55">
        <v>746.64741272000003</v>
      </c>
      <c r="Q45" s="55">
        <v>1216.3152515300001</v>
      </c>
      <c r="R45" s="55">
        <v>1135.19891809</v>
      </c>
      <c r="S45" s="55">
        <v>1655.1510542299998</v>
      </c>
      <c r="T45" s="55">
        <v>1427.9652363600003</v>
      </c>
      <c r="U45" s="55">
        <v>1255.47476886</v>
      </c>
      <c r="V45" s="55">
        <v>1126.6943351100001</v>
      </c>
      <c r="W45" s="55">
        <v>1181.0182697600001</v>
      </c>
      <c r="X45" s="55">
        <v>1387.0594138700003</v>
      </c>
      <c r="Y45" s="55">
        <v>1194.0129208200001</v>
      </c>
      <c r="Z45" s="55">
        <v>1605.5533398799998</v>
      </c>
      <c r="AA45" s="55">
        <v>1592.6300768099998</v>
      </c>
      <c r="AB45" s="55">
        <v>1551.4131533200002</v>
      </c>
      <c r="AC45" s="55">
        <v>1689.8446614025822</v>
      </c>
      <c r="AD45" s="55">
        <v>1397.1113761361598</v>
      </c>
      <c r="AE45" s="55">
        <v>1823.4374147843871</v>
      </c>
    </row>
    <row r="46" spans="1:31" x14ac:dyDescent="0.35">
      <c r="A46" s="57">
        <v>43</v>
      </c>
      <c r="D46" s="47" t="s">
        <v>13</v>
      </c>
      <c r="E46" s="47" t="s">
        <v>23</v>
      </c>
      <c r="F46" s="55">
        <v>760.90809507000006</v>
      </c>
      <c r="G46" s="55">
        <v>742.36603624000008</v>
      </c>
      <c r="H46" s="55">
        <v>676.65773862000003</v>
      </c>
      <c r="I46" s="55">
        <v>510.28313735999996</v>
      </c>
      <c r="J46" s="55">
        <v>577.09396347000006</v>
      </c>
      <c r="K46" s="55">
        <v>551.43426642999998</v>
      </c>
      <c r="L46" s="55">
        <v>572.31354238000006</v>
      </c>
      <c r="M46" s="55">
        <v>572.94208330000004</v>
      </c>
      <c r="N46" s="55">
        <v>547.87075938999999</v>
      </c>
      <c r="O46" s="55">
        <v>531.96348369999998</v>
      </c>
      <c r="P46" s="55">
        <v>541.7098778699999</v>
      </c>
      <c r="Q46" s="55">
        <v>574.38083126000004</v>
      </c>
      <c r="R46" s="55">
        <v>571.51618686999996</v>
      </c>
      <c r="S46" s="55">
        <v>557.31622996999999</v>
      </c>
      <c r="T46" s="55">
        <v>530.62064574999999</v>
      </c>
      <c r="U46" s="55">
        <v>556.96937150000008</v>
      </c>
      <c r="V46" s="55">
        <v>477.18834899999996</v>
      </c>
      <c r="W46" s="55">
        <v>464.22737442000005</v>
      </c>
      <c r="X46" s="55">
        <v>513.17478859999994</v>
      </c>
      <c r="Y46" s="55">
        <v>550.94741093000005</v>
      </c>
      <c r="Z46" s="55">
        <v>573.21504731999994</v>
      </c>
      <c r="AA46" s="55">
        <v>549.84559388000014</v>
      </c>
      <c r="AB46" s="55">
        <v>497.21207272999999</v>
      </c>
      <c r="AC46" s="55">
        <v>554.497517767418</v>
      </c>
      <c r="AD46" s="55">
        <v>530.71831961383998</v>
      </c>
      <c r="AE46" s="55">
        <v>535.47387230561299</v>
      </c>
    </row>
    <row r="47" spans="1:31" x14ac:dyDescent="0.35">
      <c r="A47" s="57">
        <v>44</v>
      </c>
      <c r="D47" s="46" t="s">
        <v>14</v>
      </c>
      <c r="E47" s="46" t="s">
        <v>24</v>
      </c>
      <c r="F47" s="55">
        <v>3591.4928426000001</v>
      </c>
      <c r="G47" s="55">
        <v>5376.1411723033998</v>
      </c>
      <c r="H47" s="55">
        <v>7671.2113580000005</v>
      </c>
      <c r="I47" s="55">
        <v>7521.6374956000009</v>
      </c>
      <c r="J47" s="55">
        <v>6032.8554927600007</v>
      </c>
      <c r="K47" s="55">
        <v>5933.6568398500012</v>
      </c>
      <c r="L47" s="55">
        <v>9637.8137396000002</v>
      </c>
      <c r="M47" s="55">
        <v>11989.754179750002</v>
      </c>
      <c r="N47" s="55">
        <v>10302.350695959998</v>
      </c>
      <c r="O47" s="55">
        <v>11937.870978430001</v>
      </c>
      <c r="P47" s="55">
        <v>13028.1006284</v>
      </c>
      <c r="Q47" s="55">
        <v>11836.16233087</v>
      </c>
      <c r="R47" s="55">
        <v>14921.367349710001</v>
      </c>
      <c r="S47" s="55">
        <v>12459.7336338</v>
      </c>
      <c r="T47" s="55">
        <v>12806.29945516</v>
      </c>
      <c r="U47" s="55">
        <v>17714.467853729999</v>
      </c>
      <c r="V47" s="55">
        <v>9629.7735932800006</v>
      </c>
      <c r="W47" s="55">
        <v>8110.7162146500013</v>
      </c>
      <c r="X47" s="55">
        <v>9335.0297105800018</v>
      </c>
      <c r="Y47" s="55">
        <v>12566.456029550001</v>
      </c>
      <c r="Z47" s="55">
        <v>11429.833540290001</v>
      </c>
      <c r="AA47" s="55">
        <v>12189.23645692</v>
      </c>
      <c r="AB47" s="55">
        <v>11865.397014040002</v>
      </c>
      <c r="AC47" s="55">
        <v>13661.629745590002</v>
      </c>
      <c r="AD47" s="55">
        <v>15499.56423616</v>
      </c>
      <c r="AE47" s="55">
        <v>16407.160824990002</v>
      </c>
    </row>
    <row r="48" spans="1:31" x14ac:dyDescent="0.35">
      <c r="A48" s="57">
        <v>45</v>
      </c>
      <c r="D48" s="46" t="s">
        <v>25</v>
      </c>
      <c r="E48" s="46" t="s">
        <v>26</v>
      </c>
      <c r="F48" s="55">
        <v>47516.401456762898</v>
      </c>
      <c r="G48" s="55">
        <v>51701.712037312696</v>
      </c>
      <c r="H48" s="55">
        <v>54885.495066440009</v>
      </c>
      <c r="I48" s="55">
        <v>58072.362539270005</v>
      </c>
      <c r="J48" s="55">
        <v>64318.403757163302</v>
      </c>
      <c r="K48" s="55">
        <v>65060.977794816376</v>
      </c>
      <c r="L48" s="55">
        <v>66114.288871877623</v>
      </c>
      <c r="M48" s="55">
        <v>67910.466160175638</v>
      </c>
      <c r="N48" s="55">
        <v>74668.683646125166</v>
      </c>
      <c r="O48" s="55">
        <v>73740.356398295902</v>
      </c>
      <c r="P48" s="55">
        <v>77714.310576286371</v>
      </c>
      <c r="Q48" s="55">
        <v>79273.177739072693</v>
      </c>
      <c r="R48" s="55">
        <v>81270.636593350006</v>
      </c>
      <c r="S48" s="55">
        <v>73335.198805549997</v>
      </c>
      <c r="T48" s="55">
        <v>74462.977482400005</v>
      </c>
      <c r="U48" s="55">
        <v>75711.420814240017</v>
      </c>
      <c r="V48" s="55">
        <v>83321.955815519992</v>
      </c>
      <c r="W48" s="55">
        <v>84377.809368210001</v>
      </c>
      <c r="X48" s="55">
        <v>89308.655021829996</v>
      </c>
      <c r="Y48" s="55">
        <v>87387.742130450002</v>
      </c>
      <c r="Z48" s="55">
        <v>93108.826496580004</v>
      </c>
      <c r="AA48" s="55">
        <v>96959.548540971853</v>
      </c>
      <c r="AB48" s="55">
        <v>99866.099748815832</v>
      </c>
      <c r="AC48" s="55">
        <v>103746.69379253747</v>
      </c>
      <c r="AD48" s="55">
        <v>107123.23054990299</v>
      </c>
      <c r="AE48" s="55">
        <v>105466.4466741877</v>
      </c>
    </row>
    <row r="49" spans="1:31" ht="15.5" x14ac:dyDescent="0.35">
      <c r="A49" s="57">
        <v>46</v>
      </c>
      <c r="D49" s="45" t="s">
        <v>15</v>
      </c>
      <c r="E49" s="45" t="s">
        <v>17</v>
      </c>
      <c r="F49" s="52">
        <v>2169.4365849676001</v>
      </c>
      <c r="G49" s="52">
        <v>2508.8175314065998</v>
      </c>
      <c r="H49" s="52">
        <v>3402.0549856999996</v>
      </c>
      <c r="I49" s="52">
        <v>3193.6177699</v>
      </c>
      <c r="J49" s="52">
        <v>2971.82715216</v>
      </c>
      <c r="K49" s="52">
        <v>3183.9889971599996</v>
      </c>
      <c r="L49" s="52">
        <v>3191.7282120899999</v>
      </c>
      <c r="M49" s="52">
        <v>2271.3842542699999</v>
      </c>
      <c r="N49" s="52">
        <v>2063.2057018800001</v>
      </c>
      <c r="O49" s="52">
        <v>2131.9889266999999</v>
      </c>
      <c r="P49" s="52">
        <v>2184.9486932899999</v>
      </c>
      <c r="Q49" s="52">
        <v>2132.7354917800003</v>
      </c>
      <c r="R49" s="52">
        <v>2220.5658978099996</v>
      </c>
      <c r="S49" s="52">
        <v>2515.16192469</v>
      </c>
      <c r="T49" s="52">
        <v>2727.41558915</v>
      </c>
      <c r="U49" s="52">
        <v>3785.6994371700002</v>
      </c>
      <c r="V49" s="52">
        <v>3597.2455715999999</v>
      </c>
      <c r="W49" s="52">
        <v>3499.6717468100005</v>
      </c>
      <c r="X49" s="52">
        <v>3020.0184271299995</v>
      </c>
      <c r="Y49" s="52">
        <v>2915.31220704</v>
      </c>
      <c r="Z49" s="52">
        <v>3400.3169441499999</v>
      </c>
      <c r="AA49" s="52">
        <v>2955.6139039700001</v>
      </c>
      <c r="AB49" s="52">
        <v>2988.5501621499998</v>
      </c>
      <c r="AC49" s="52">
        <v>3118.0806909700004</v>
      </c>
      <c r="AD49" s="52">
        <v>3294.8581173799998</v>
      </c>
      <c r="AE49" s="52">
        <v>3268.8841241200003</v>
      </c>
    </row>
    <row r="50" spans="1:31" ht="9" customHeight="1" x14ac:dyDescent="0.35">
      <c r="A50" s="57">
        <v>47</v>
      </c>
      <c r="D50" s="49"/>
      <c r="E50" s="49"/>
      <c r="F50" s="51">
        <v>0</v>
      </c>
      <c r="G50" s="51">
        <v>0</v>
      </c>
      <c r="H50" s="51">
        <v>0</v>
      </c>
      <c r="I50" s="51">
        <v>0</v>
      </c>
      <c r="J50" s="51">
        <v>0</v>
      </c>
      <c r="K50" s="51">
        <v>0</v>
      </c>
      <c r="L50" s="51">
        <v>0</v>
      </c>
      <c r="M50" s="51">
        <v>0</v>
      </c>
      <c r="N50" s="51">
        <v>0</v>
      </c>
      <c r="O50" s="51">
        <v>0</v>
      </c>
      <c r="P50" s="51">
        <v>0</v>
      </c>
      <c r="Q50" s="51">
        <v>0</v>
      </c>
      <c r="R50" s="51">
        <v>0</v>
      </c>
      <c r="S50" s="51">
        <v>0</v>
      </c>
      <c r="T50" s="51">
        <v>0</v>
      </c>
      <c r="U50" s="51">
        <v>0</v>
      </c>
      <c r="V50" s="51">
        <v>0</v>
      </c>
      <c r="W50" s="51">
        <v>0</v>
      </c>
      <c r="X50" s="51">
        <v>0</v>
      </c>
      <c r="Y50" s="51">
        <v>0</v>
      </c>
      <c r="Z50" s="51">
        <v>0</v>
      </c>
      <c r="AA50" s="51">
        <v>0</v>
      </c>
      <c r="AB50" s="51">
        <v>0</v>
      </c>
      <c r="AC50" s="51">
        <v>0</v>
      </c>
      <c r="AD50" s="51">
        <v>0</v>
      </c>
      <c r="AE50" s="51">
        <v>0</v>
      </c>
    </row>
    <row r="51" spans="1:31" ht="26.15" customHeight="1" x14ac:dyDescent="0.45">
      <c r="A51" s="57">
        <v>48</v>
      </c>
      <c r="B51" s="42"/>
      <c r="C51" s="44" t="s">
        <v>7</v>
      </c>
      <c r="D51" s="44"/>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row>
    <row r="52" spans="1:31" ht="18" customHeight="1" x14ac:dyDescent="0.35">
      <c r="A52" s="57">
        <v>49</v>
      </c>
      <c r="D52" s="45" t="s">
        <v>9</v>
      </c>
      <c r="E52" s="45" t="s">
        <v>30</v>
      </c>
      <c r="F52" s="52">
        <f t="shared" ref="F52:Q52" si="26">F53+F54+F58+F59</f>
        <v>614.44510571000001</v>
      </c>
      <c r="G52" s="52">
        <f t="shared" si="26"/>
        <v>5915.3516043500003</v>
      </c>
      <c r="H52" s="52">
        <f t="shared" si="26"/>
        <v>9217.4314691199997</v>
      </c>
      <c r="I52" s="52">
        <f t="shared" si="26"/>
        <v>6298.7206888200008</v>
      </c>
      <c r="J52" s="52">
        <f t="shared" si="26"/>
        <v>5402.9735891</v>
      </c>
      <c r="K52" s="52">
        <f t="shared" si="26"/>
        <v>3373.4703486999997</v>
      </c>
      <c r="L52" s="52">
        <f t="shared" si="26"/>
        <v>5467.8659062599991</v>
      </c>
      <c r="M52" s="52">
        <f t="shared" si="26"/>
        <v>5463.8205637699994</v>
      </c>
      <c r="N52" s="52">
        <f t="shared" si="26"/>
        <v>6383.3075630800004</v>
      </c>
      <c r="O52" s="52">
        <f t="shared" si="26"/>
        <v>5379.0185826600009</v>
      </c>
      <c r="P52" s="52">
        <f t="shared" si="26"/>
        <v>4419.3225523099991</v>
      </c>
      <c r="Q52" s="52">
        <f t="shared" si="26"/>
        <v>3584.38457733</v>
      </c>
      <c r="R52" s="52">
        <f t="shared" ref="R52" si="27">R53+R54+R58+R59</f>
        <v>3703.8270586899998</v>
      </c>
      <c r="S52" s="52">
        <f t="shared" ref="S52:AB52" si="28">S53+S54+S58+S59</f>
        <v>1258.6147557699999</v>
      </c>
      <c r="T52" s="52">
        <f t="shared" si="28"/>
        <v>1706.4006995299999</v>
      </c>
      <c r="U52" s="52">
        <f t="shared" si="28"/>
        <v>1060.50469492</v>
      </c>
      <c r="V52" s="52">
        <f t="shared" si="28"/>
        <v>6616.8460480399999</v>
      </c>
      <c r="W52" s="52">
        <f t="shared" si="28"/>
        <v>11599.622110079999</v>
      </c>
      <c r="X52" s="52">
        <f t="shared" si="28"/>
        <v>11792.057391190001</v>
      </c>
      <c r="Y52" s="52">
        <f t="shared" si="28"/>
        <v>7417.6295456199996</v>
      </c>
      <c r="Z52" s="52">
        <f t="shared" si="28"/>
        <v>11432.76196066</v>
      </c>
      <c r="AA52" s="52">
        <f t="shared" si="28"/>
        <v>11336.310098029999</v>
      </c>
      <c r="AB52" s="52">
        <f t="shared" si="28"/>
        <v>7053.7139016800002</v>
      </c>
      <c r="AC52" s="52">
        <f t="shared" ref="AC52" si="29">AC53+AC54+AC58+AC59</f>
        <v>9845.4017719700023</v>
      </c>
      <c r="AD52" s="52">
        <v>10545.88994682</v>
      </c>
      <c r="AE52" s="52">
        <v>7541.0226905300005</v>
      </c>
    </row>
    <row r="53" spans="1:31" x14ac:dyDescent="0.35">
      <c r="A53" s="57">
        <v>50</v>
      </c>
      <c r="D53" s="46" t="s">
        <v>10</v>
      </c>
      <c r="E53" s="46" t="s">
        <v>18</v>
      </c>
      <c r="F53" s="55">
        <v>0</v>
      </c>
      <c r="G53" s="55">
        <v>0</v>
      </c>
      <c r="H53" s="55">
        <v>0</v>
      </c>
      <c r="I53" s="55">
        <v>0</v>
      </c>
      <c r="J53" s="55">
        <v>0</v>
      </c>
      <c r="K53" s="55">
        <v>0</v>
      </c>
      <c r="L53" s="55">
        <v>0</v>
      </c>
      <c r="M53" s="55">
        <v>0</v>
      </c>
      <c r="N53" s="55">
        <v>0</v>
      </c>
      <c r="O53" s="55">
        <v>0</v>
      </c>
      <c r="P53" s="55">
        <v>0</v>
      </c>
      <c r="Q53" s="55">
        <v>0</v>
      </c>
      <c r="R53" s="55">
        <v>0</v>
      </c>
      <c r="S53" s="55">
        <v>0</v>
      </c>
      <c r="T53" s="55">
        <v>0</v>
      </c>
      <c r="U53" s="55">
        <v>0</v>
      </c>
      <c r="V53" s="55">
        <v>0</v>
      </c>
      <c r="W53" s="55">
        <v>0</v>
      </c>
      <c r="X53" s="55">
        <v>0</v>
      </c>
      <c r="Y53" s="55">
        <v>0</v>
      </c>
      <c r="Z53" s="55">
        <v>0</v>
      </c>
      <c r="AA53" s="55">
        <v>0</v>
      </c>
      <c r="AB53" s="55">
        <v>0</v>
      </c>
      <c r="AC53" s="55">
        <v>0</v>
      </c>
      <c r="AD53" s="55">
        <v>0</v>
      </c>
      <c r="AE53" s="55">
        <v>0</v>
      </c>
    </row>
    <row r="54" spans="1:31" x14ac:dyDescent="0.35">
      <c r="A54" s="57">
        <v>51</v>
      </c>
      <c r="D54" s="46" t="s">
        <v>11</v>
      </c>
      <c r="E54" s="46" t="s">
        <v>0</v>
      </c>
      <c r="F54" s="54">
        <f t="shared" ref="F54:Q54" si="30">SUM(F55:F57)</f>
        <v>614.44510571000001</v>
      </c>
      <c r="G54" s="54">
        <f t="shared" si="30"/>
        <v>5915.3516043500003</v>
      </c>
      <c r="H54" s="54">
        <f t="shared" si="30"/>
        <v>9217.4314691199997</v>
      </c>
      <c r="I54" s="54">
        <f t="shared" si="30"/>
        <v>6298.7206888200008</v>
      </c>
      <c r="J54" s="54">
        <f t="shared" si="30"/>
        <v>5402.9735891</v>
      </c>
      <c r="K54" s="54">
        <f t="shared" si="30"/>
        <v>3373.4703486999997</v>
      </c>
      <c r="L54" s="54">
        <f t="shared" si="30"/>
        <v>5467.8659062599991</v>
      </c>
      <c r="M54" s="54">
        <f t="shared" si="30"/>
        <v>5463.8205637699994</v>
      </c>
      <c r="N54" s="54">
        <f t="shared" si="30"/>
        <v>6383.3075630800004</v>
      </c>
      <c r="O54" s="54">
        <f t="shared" si="30"/>
        <v>5379.0185826600009</v>
      </c>
      <c r="P54" s="54">
        <f t="shared" si="30"/>
        <v>4419.3225523099991</v>
      </c>
      <c r="Q54" s="54">
        <f t="shared" si="30"/>
        <v>3584.38457733</v>
      </c>
      <c r="R54" s="54">
        <f t="shared" ref="R54" si="31">SUM(R55:R57)</f>
        <v>3703.8270586899998</v>
      </c>
      <c r="S54" s="54">
        <f t="shared" ref="S54:AB54" si="32">SUM(S55:S57)</f>
        <v>1258.6147557699999</v>
      </c>
      <c r="T54" s="54">
        <f t="shared" si="32"/>
        <v>1706.4006995299999</v>
      </c>
      <c r="U54" s="54">
        <f t="shared" si="32"/>
        <v>1060.50469492</v>
      </c>
      <c r="V54" s="54">
        <f t="shared" si="32"/>
        <v>6616.8460480399999</v>
      </c>
      <c r="W54" s="54">
        <f t="shared" si="32"/>
        <v>11599.622110079999</v>
      </c>
      <c r="X54" s="54">
        <f t="shared" si="32"/>
        <v>11705.752338190001</v>
      </c>
      <c r="Y54" s="54">
        <f t="shared" si="32"/>
        <v>7160.1985586199999</v>
      </c>
      <c r="Z54" s="54">
        <f t="shared" si="32"/>
        <v>11179.999272659999</v>
      </c>
      <c r="AA54" s="54">
        <f t="shared" si="32"/>
        <v>10923.607609029999</v>
      </c>
      <c r="AB54" s="54">
        <f t="shared" si="32"/>
        <v>6533.4874036800002</v>
      </c>
      <c r="AC54" s="54">
        <f t="shared" ref="AC54" si="33">SUM(AC55:AC57)</f>
        <v>9131.900991970002</v>
      </c>
      <c r="AD54" s="54">
        <v>9767.6056998200002</v>
      </c>
      <c r="AE54" s="54">
        <v>6823.4345765300004</v>
      </c>
    </row>
    <row r="55" spans="1:31" x14ac:dyDescent="0.35">
      <c r="A55" s="57">
        <v>52</v>
      </c>
      <c r="D55" s="47" t="s">
        <v>21</v>
      </c>
      <c r="E55" s="47" t="s">
        <v>20</v>
      </c>
      <c r="F55" s="55">
        <v>614.44510571000001</v>
      </c>
      <c r="G55" s="55">
        <v>5810.8465472642856</v>
      </c>
      <c r="H55" s="55">
        <v>8929.2052938557135</v>
      </c>
      <c r="I55" s="55">
        <v>6141.9042716914291</v>
      </c>
      <c r="J55" s="55">
        <v>5402.9735891</v>
      </c>
      <c r="K55" s="55">
        <v>3373.4703486999997</v>
      </c>
      <c r="L55" s="55">
        <v>5467.8659062599991</v>
      </c>
      <c r="M55" s="55">
        <v>5463.8205637699994</v>
      </c>
      <c r="N55" s="55">
        <v>6383.3075630800004</v>
      </c>
      <c r="O55" s="55">
        <v>5379.0185826600009</v>
      </c>
      <c r="P55" s="55">
        <v>4419.3225523099991</v>
      </c>
      <c r="Q55" s="55">
        <v>3584.38457733</v>
      </c>
      <c r="R55" s="55">
        <v>3703.8270586899998</v>
      </c>
      <c r="S55" s="55">
        <v>1258.6147557699999</v>
      </c>
      <c r="T55" s="55">
        <v>1706.4006995299999</v>
      </c>
      <c r="U55" s="55">
        <v>1060.50469492</v>
      </c>
      <c r="V55" s="55">
        <v>6616.8460480399999</v>
      </c>
      <c r="W55" s="55">
        <v>11599.622110079999</v>
      </c>
      <c r="X55" s="55">
        <v>11705.752338190001</v>
      </c>
      <c r="Y55" s="55">
        <v>7160.1985586199999</v>
      </c>
      <c r="Z55" s="55">
        <v>11179.999272659999</v>
      </c>
      <c r="AA55" s="55">
        <v>10923.607609029999</v>
      </c>
      <c r="AB55" s="55">
        <v>6533.4874036800002</v>
      </c>
      <c r="AC55" s="55">
        <v>9131.900991970002</v>
      </c>
      <c r="AD55" s="55">
        <v>9767.6056998200002</v>
      </c>
      <c r="AE55" s="55">
        <v>6823.4345765300004</v>
      </c>
    </row>
    <row r="56" spans="1:31" x14ac:dyDescent="0.35">
      <c r="A56" s="57">
        <v>53</v>
      </c>
      <c r="D56" s="47" t="s">
        <v>12</v>
      </c>
      <c r="E56" s="47" t="s">
        <v>22</v>
      </c>
      <c r="F56" s="55">
        <v>0</v>
      </c>
      <c r="G56" s="55">
        <v>104.50505708571428</v>
      </c>
      <c r="H56" s="55">
        <v>288.22617526428576</v>
      </c>
      <c r="I56" s="55">
        <v>156.81641712857143</v>
      </c>
      <c r="J56" s="55">
        <v>0</v>
      </c>
      <c r="K56" s="55">
        <v>0</v>
      </c>
      <c r="L56" s="55">
        <v>0</v>
      </c>
      <c r="M56" s="55">
        <v>0</v>
      </c>
      <c r="N56" s="55">
        <v>0</v>
      </c>
      <c r="O56" s="55">
        <v>0</v>
      </c>
      <c r="P56" s="55">
        <v>0</v>
      </c>
      <c r="Q56" s="55">
        <v>0</v>
      </c>
      <c r="R56" s="55">
        <v>0</v>
      </c>
      <c r="S56" s="55">
        <v>0</v>
      </c>
      <c r="T56" s="55">
        <v>0</v>
      </c>
      <c r="U56" s="55">
        <v>0</v>
      </c>
      <c r="V56" s="55">
        <v>0</v>
      </c>
      <c r="W56" s="55">
        <v>0</v>
      </c>
      <c r="X56" s="55">
        <v>0</v>
      </c>
      <c r="Y56" s="55">
        <v>0</v>
      </c>
      <c r="Z56" s="55">
        <v>0</v>
      </c>
      <c r="AA56" s="55">
        <v>0</v>
      </c>
      <c r="AB56" s="55">
        <v>0</v>
      </c>
      <c r="AC56" s="55">
        <v>0</v>
      </c>
      <c r="AD56" s="55">
        <v>0</v>
      </c>
      <c r="AE56" s="55">
        <v>0</v>
      </c>
    </row>
    <row r="57" spans="1:31" x14ac:dyDescent="0.35">
      <c r="A57" s="57">
        <v>54</v>
      </c>
      <c r="D57" s="47" t="s">
        <v>13</v>
      </c>
      <c r="E57" s="47" t="s">
        <v>23</v>
      </c>
      <c r="F57" s="55">
        <v>0</v>
      </c>
      <c r="G57" s="55">
        <v>0</v>
      </c>
      <c r="H57" s="55">
        <v>0</v>
      </c>
      <c r="I57" s="55">
        <v>0</v>
      </c>
      <c r="J57" s="55">
        <v>0</v>
      </c>
      <c r="K57" s="55">
        <v>0</v>
      </c>
      <c r="L57" s="55">
        <v>0</v>
      </c>
      <c r="M57" s="55">
        <v>0</v>
      </c>
      <c r="N57" s="55">
        <v>0</v>
      </c>
      <c r="O57" s="55">
        <v>0</v>
      </c>
      <c r="P57" s="55">
        <v>0</v>
      </c>
      <c r="Q57" s="55">
        <v>0</v>
      </c>
      <c r="R57" s="55">
        <v>0</v>
      </c>
      <c r="S57" s="55">
        <v>0</v>
      </c>
      <c r="T57" s="55">
        <v>0</v>
      </c>
      <c r="U57" s="55">
        <v>0</v>
      </c>
      <c r="V57" s="55">
        <v>0</v>
      </c>
      <c r="W57" s="55">
        <v>0</v>
      </c>
      <c r="X57" s="55">
        <v>0</v>
      </c>
      <c r="Y57" s="55">
        <v>0</v>
      </c>
      <c r="Z57" s="55">
        <v>0</v>
      </c>
      <c r="AA57" s="55">
        <v>0</v>
      </c>
      <c r="AB57" s="55">
        <v>0</v>
      </c>
      <c r="AC57" s="55">
        <v>0</v>
      </c>
      <c r="AD57" s="55">
        <v>0</v>
      </c>
      <c r="AE57" s="55">
        <v>0</v>
      </c>
    </row>
    <row r="58" spans="1:31" x14ac:dyDescent="0.35">
      <c r="A58" s="57">
        <v>55</v>
      </c>
      <c r="D58" s="46" t="s">
        <v>1</v>
      </c>
      <c r="E58" s="46" t="s">
        <v>24</v>
      </c>
      <c r="F58" s="54">
        <v>0</v>
      </c>
      <c r="G58" s="54">
        <v>0</v>
      </c>
      <c r="H58" s="54">
        <v>0</v>
      </c>
      <c r="I58" s="54">
        <v>0</v>
      </c>
      <c r="J58" s="54">
        <v>0</v>
      </c>
      <c r="K58" s="54">
        <v>0</v>
      </c>
      <c r="L58" s="54">
        <v>0</v>
      </c>
      <c r="M58" s="54">
        <v>0</v>
      </c>
      <c r="N58" s="54">
        <v>0</v>
      </c>
      <c r="O58" s="54">
        <v>0</v>
      </c>
      <c r="P58" s="54">
        <v>0</v>
      </c>
      <c r="Q58" s="54">
        <v>0</v>
      </c>
      <c r="R58" s="54">
        <v>0</v>
      </c>
      <c r="S58" s="54">
        <v>0</v>
      </c>
      <c r="T58" s="54">
        <v>0</v>
      </c>
      <c r="U58" s="54">
        <v>0</v>
      </c>
      <c r="V58" s="54">
        <v>0</v>
      </c>
      <c r="W58" s="54">
        <v>0</v>
      </c>
      <c r="X58" s="54">
        <v>0</v>
      </c>
      <c r="Y58" s="54">
        <v>0</v>
      </c>
      <c r="Z58" s="54">
        <v>0</v>
      </c>
      <c r="AA58" s="54">
        <v>0</v>
      </c>
      <c r="AB58" s="54">
        <v>0</v>
      </c>
      <c r="AC58" s="54">
        <v>0</v>
      </c>
      <c r="AD58" s="54">
        <v>0</v>
      </c>
      <c r="AE58" s="54">
        <v>0</v>
      </c>
    </row>
    <row r="59" spans="1:31" x14ac:dyDescent="0.35">
      <c r="A59" s="57">
        <v>56</v>
      </c>
      <c r="D59" s="46" t="s">
        <v>25</v>
      </c>
      <c r="E59" s="46" t="s">
        <v>26</v>
      </c>
      <c r="F59" s="54">
        <v>0</v>
      </c>
      <c r="G59" s="54">
        <v>0</v>
      </c>
      <c r="H59" s="54">
        <v>0</v>
      </c>
      <c r="I59" s="54">
        <v>0</v>
      </c>
      <c r="J59" s="54">
        <v>0</v>
      </c>
      <c r="K59" s="54">
        <v>0</v>
      </c>
      <c r="L59" s="54">
        <v>0</v>
      </c>
      <c r="M59" s="54">
        <v>0</v>
      </c>
      <c r="N59" s="54">
        <v>0</v>
      </c>
      <c r="O59" s="54">
        <v>0</v>
      </c>
      <c r="P59" s="54">
        <v>0</v>
      </c>
      <c r="Q59" s="54">
        <v>0</v>
      </c>
      <c r="R59" s="54">
        <v>0</v>
      </c>
      <c r="S59" s="54">
        <v>0</v>
      </c>
      <c r="T59" s="54">
        <v>0</v>
      </c>
      <c r="U59" s="54">
        <v>0</v>
      </c>
      <c r="V59" s="54">
        <v>0</v>
      </c>
      <c r="W59" s="54">
        <v>0</v>
      </c>
      <c r="X59" s="54">
        <v>86.305053000000001</v>
      </c>
      <c r="Y59" s="54">
        <v>257.43098700000002</v>
      </c>
      <c r="Z59" s="54">
        <v>252.762688</v>
      </c>
      <c r="AA59" s="54">
        <v>412.70248900000001</v>
      </c>
      <c r="AB59" s="54">
        <v>520.22649799999999</v>
      </c>
      <c r="AC59" s="54">
        <v>713.50077999999996</v>
      </c>
      <c r="AD59" s="54">
        <v>778.28424700000005</v>
      </c>
      <c r="AE59" s="54">
        <v>717.58811400000002</v>
      </c>
    </row>
    <row r="60" spans="1:31" ht="15.5" x14ac:dyDescent="0.35">
      <c r="A60" s="57">
        <v>57</v>
      </c>
      <c r="D60" s="45" t="s">
        <v>15</v>
      </c>
      <c r="E60" s="45" t="s">
        <v>17</v>
      </c>
      <c r="F60" s="52">
        <v>1124.9279541689998</v>
      </c>
      <c r="G60" s="52">
        <v>1137.7952</v>
      </c>
      <c r="H60" s="52">
        <v>990.55026799999996</v>
      </c>
      <c r="I60" s="52">
        <v>986.72371699999997</v>
      </c>
      <c r="J60" s="52">
        <v>986.79593499999999</v>
      </c>
      <c r="K60" s="52">
        <v>1042.591997</v>
      </c>
      <c r="L60" s="52">
        <v>988.89228100000003</v>
      </c>
      <c r="M60" s="52">
        <v>979.969561</v>
      </c>
      <c r="N60" s="52">
        <v>999.29935699999999</v>
      </c>
      <c r="O60" s="52">
        <v>1041.1106609999999</v>
      </c>
      <c r="P60" s="52">
        <v>1039.1064699999999</v>
      </c>
      <c r="Q60" s="52">
        <v>1020.319207</v>
      </c>
      <c r="R60" s="52">
        <v>1320.8061319999999</v>
      </c>
      <c r="S60" s="52">
        <v>1361.302915</v>
      </c>
      <c r="T60" s="52">
        <v>1594.83743</v>
      </c>
      <c r="U60" s="52">
        <v>1618.7758389999999</v>
      </c>
      <c r="V60" s="52">
        <v>1604.6724850000001</v>
      </c>
      <c r="W60" s="52">
        <v>1574.0022879999999</v>
      </c>
      <c r="X60" s="52">
        <v>1558.5616210000001</v>
      </c>
      <c r="Y60" s="52">
        <v>1551.1102519999999</v>
      </c>
      <c r="Z60" s="52">
        <v>1505.895702</v>
      </c>
      <c r="AA60" s="52">
        <v>639.25275299999998</v>
      </c>
      <c r="AB60" s="52">
        <v>633.59607400000004</v>
      </c>
      <c r="AC60" s="52">
        <v>641.00189799999998</v>
      </c>
      <c r="AD60" s="52">
        <v>1116.0692305099999</v>
      </c>
      <c r="AE60" s="52">
        <v>1133.1188126500001</v>
      </c>
    </row>
    <row r="61" spans="1:31" ht="17.25" customHeight="1" x14ac:dyDescent="0.35">
      <c r="A61" s="57">
        <v>58</v>
      </c>
      <c r="D61" s="49"/>
      <c r="E61" s="49"/>
      <c r="F61" s="51">
        <v>0</v>
      </c>
      <c r="G61" s="51">
        <v>0</v>
      </c>
      <c r="H61" s="51">
        <v>0</v>
      </c>
      <c r="I61" s="51">
        <v>0</v>
      </c>
      <c r="J61" s="51">
        <v>0</v>
      </c>
      <c r="K61" s="51">
        <v>0</v>
      </c>
      <c r="L61" s="51">
        <v>0</v>
      </c>
      <c r="M61" s="51">
        <v>0</v>
      </c>
      <c r="N61" s="51">
        <v>0</v>
      </c>
      <c r="O61" s="51">
        <v>0</v>
      </c>
      <c r="P61" s="51">
        <v>0</v>
      </c>
      <c r="Q61" s="51">
        <v>0</v>
      </c>
      <c r="R61" s="51">
        <v>0</v>
      </c>
      <c r="S61" s="51">
        <v>0</v>
      </c>
      <c r="T61" s="51">
        <v>0</v>
      </c>
      <c r="U61" s="51">
        <v>0</v>
      </c>
      <c r="V61" s="51">
        <v>0</v>
      </c>
      <c r="W61" s="51">
        <v>0</v>
      </c>
      <c r="X61" s="51">
        <v>0</v>
      </c>
      <c r="Y61" s="51">
        <v>0</v>
      </c>
      <c r="Z61" s="51">
        <v>0</v>
      </c>
      <c r="AA61" s="51">
        <v>0</v>
      </c>
      <c r="AB61" s="51">
        <v>0</v>
      </c>
      <c r="AC61" s="51">
        <v>0</v>
      </c>
      <c r="AD61" s="51">
        <v>0</v>
      </c>
      <c r="AE61" s="51">
        <v>0</v>
      </c>
    </row>
    <row r="62" spans="1:31" ht="26.15" customHeight="1" x14ac:dyDescent="0.45">
      <c r="A62" s="57">
        <v>59</v>
      </c>
      <c r="B62" s="42"/>
      <c r="C62" s="44" t="s">
        <v>2</v>
      </c>
      <c r="D62" s="44"/>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row>
    <row r="63" spans="1:31" ht="18" customHeight="1" x14ac:dyDescent="0.35">
      <c r="A63" s="57">
        <v>60</v>
      </c>
      <c r="D63" s="45" t="s">
        <v>9</v>
      </c>
      <c r="E63" s="45" t="s">
        <v>30</v>
      </c>
      <c r="F63" s="52">
        <f t="shared" ref="F63:Q63" si="34">F64+F65+F69+F70</f>
        <v>19066.298738989408</v>
      </c>
      <c r="G63" s="52">
        <f t="shared" si="34"/>
        <v>18200.795902635498</v>
      </c>
      <c r="H63" s="52">
        <f t="shared" si="34"/>
        <v>17662.820294000001</v>
      </c>
      <c r="I63" s="52">
        <f t="shared" si="34"/>
        <v>16376.366006999997</v>
      </c>
      <c r="J63" s="52">
        <f t="shared" si="34"/>
        <v>16109.755277999999</v>
      </c>
      <c r="K63" s="52">
        <f t="shared" si="34"/>
        <v>16112.107147999999</v>
      </c>
      <c r="L63" s="52">
        <f t="shared" si="34"/>
        <v>15891.261729</v>
      </c>
      <c r="M63" s="52">
        <f t="shared" si="34"/>
        <v>15952.411635</v>
      </c>
      <c r="N63" s="52">
        <f t="shared" si="34"/>
        <v>15893.269237</v>
      </c>
      <c r="O63" s="52">
        <f t="shared" si="34"/>
        <v>16231.662528999999</v>
      </c>
      <c r="P63" s="52">
        <f t="shared" si="34"/>
        <v>17008.367248103517</v>
      </c>
      <c r="Q63" s="52">
        <f t="shared" si="34"/>
        <v>17633.186663249064</v>
      </c>
      <c r="R63" s="52">
        <f t="shared" ref="R63" si="35">R64+R65+R69+R70</f>
        <v>17994.670767</v>
      </c>
      <c r="S63" s="52">
        <f t="shared" ref="S63:AB63" si="36">S64+S65+S69+S70</f>
        <v>22677.631047461979</v>
      </c>
      <c r="T63" s="52">
        <f t="shared" si="36"/>
        <v>21569.15517763</v>
      </c>
      <c r="U63" s="52">
        <f t="shared" si="36"/>
        <v>22189.10423366</v>
      </c>
      <c r="V63" s="52">
        <f t="shared" si="36"/>
        <v>19458.660996999897</v>
      </c>
      <c r="W63" s="52">
        <f t="shared" si="36"/>
        <v>19567.890227999997</v>
      </c>
      <c r="X63" s="52">
        <f t="shared" si="36"/>
        <v>19982.77690972</v>
      </c>
      <c r="Y63" s="52">
        <f t="shared" si="36"/>
        <v>19889.696083490002</v>
      </c>
      <c r="Z63" s="52">
        <f t="shared" si="36"/>
        <v>19958.841241039998</v>
      </c>
      <c r="AA63" s="52">
        <f t="shared" si="36"/>
        <v>19688.226742660001</v>
      </c>
      <c r="AB63" s="52">
        <f t="shared" si="36"/>
        <v>19862.20222458</v>
      </c>
      <c r="AC63" s="52">
        <f t="shared" ref="AC63" si="37">AC64+AC65+AC69+AC70</f>
        <v>20417.048132619999</v>
      </c>
      <c r="AD63" s="52">
        <v>20729.582007269997</v>
      </c>
      <c r="AE63" s="52">
        <v>20846.468848709996</v>
      </c>
    </row>
    <row r="64" spans="1:31" x14ac:dyDescent="0.35">
      <c r="A64" s="57">
        <v>61</v>
      </c>
      <c r="D64" s="46" t="s">
        <v>10</v>
      </c>
      <c r="E64" s="46" t="s">
        <v>18</v>
      </c>
      <c r="F64" s="54">
        <v>82.951656</v>
      </c>
      <c r="G64" s="54">
        <v>157.40569500000001</v>
      </c>
      <c r="H64" s="54">
        <v>418.69337300000001</v>
      </c>
      <c r="I64" s="54">
        <v>367.59858499999996</v>
      </c>
      <c r="J64" s="54">
        <v>464.36471600000004</v>
      </c>
      <c r="K64" s="54">
        <v>531.469829</v>
      </c>
      <c r="L64" s="54">
        <v>456.35570400000006</v>
      </c>
      <c r="M64" s="54">
        <v>369.13047599999999</v>
      </c>
      <c r="N64" s="54">
        <v>304.983678</v>
      </c>
      <c r="O64" s="54">
        <v>297.61112400000002</v>
      </c>
      <c r="P64" s="54">
        <v>299.65293899999995</v>
      </c>
      <c r="Q64" s="54">
        <v>333.27242799999999</v>
      </c>
      <c r="R64" s="54">
        <v>289.45626500000003</v>
      </c>
      <c r="S64" s="54">
        <v>362.64374800000002</v>
      </c>
      <c r="T64" s="54">
        <v>455.61957000000007</v>
      </c>
      <c r="U64" s="54">
        <v>470.07450899999998</v>
      </c>
      <c r="V64" s="54">
        <v>424.00883800000003</v>
      </c>
      <c r="W64" s="54">
        <v>165.01229800000002</v>
      </c>
      <c r="X64" s="54">
        <v>552.79776700000002</v>
      </c>
      <c r="Y64" s="54">
        <v>522.31335200000001</v>
      </c>
      <c r="Z64" s="54">
        <v>531.53495299999997</v>
      </c>
      <c r="AA64" s="54">
        <v>548.106179</v>
      </c>
      <c r="AB64" s="54">
        <v>571.72480900000005</v>
      </c>
      <c r="AC64" s="54">
        <v>568.664717</v>
      </c>
      <c r="AD64" s="54">
        <v>534.69743900000003</v>
      </c>
      <c r="AE64" s="54">
        <v>542.33374300000003</v>
      </c>
    </row>
    <row r="65" spans="1:31" x14ac:dyDescent="0.35">
      <c r="A65" s="57">
        <v>62</v>
      </c>
      <c r="D65" s="46" t="s">
        <v>11</v>
      </c>
      <c r="E65" s="46" t="s">
        <v>0</v>
      </c>
      <c r="F65" s="54">
        <f t="shared" ref="F65:Q65" si="38">SUM(F66:F68)</f>
        <v>15580.209415082909</v>
      </c>
      <c r="G65" s="54">
        <f t="shared" si="38"/>
        <v>1519.6724389954998</v>
      </c>
      <c r="H65" s="54">
        <f t="shared" si="38"/>
        <v>1348.0776630000003</v>
      </c>
      <c r="I65" s="54">
        <f t="shared" si="38"/>
        <v>1412.7416699999999</v>
      </c>
      <c r="J65" s="54">
        <f t="shared" si="38"/>
        <v>1577.7553820000001</v>
      </c>
      <c r="K65" s="54">
        <f t="shared" si="38"/>
        <v>1535.9696019999999</v>
      </c>
      <c r="L65" s="54">
        <f t="shared" si="38"/>
        <v>1316.5278489999998</v>
      </c>
      <c r="M65" s="54">
        <f t="shared" si="38"/>
        <v>1256.591817</v>
      </c>
      <c r="N65" s="54">
        <f t="shared" si="38"/>
        <v>1285.286998</v>
      </c>
      <c r="O65" s="54">
        <f t="shared" si="38"/>
        <v>1262.9638259999999</v>
      </c>
      <c r="P65" s="54">
        <f t="shared" si="38"/>
        <v>1520.7358210000002</v>
      </c>
      <c r="Q65" s="54">
        <f t="shared" si="38"/>
        <v>1675.3509859999999</v>
      </c>
      <c r="R65" s="54">
        <f t="shared" ref="R65" si="39">SUM(R66:R68)</f>
        <v>1829.0945590000001</v>
      </c>
      <c r="S65" s="54">
        <f t="shared" ref="S65:AB65" si="40">SUM(S66:S68)</f>
        <v>6183.3878298599993</v>
      </c>
      <c r="T65" s="54">
        <f t="shared" si="40"/>
        <v>4996.452650629999</v>
      </c>
      <c r="U65" s="54">
        <f t="shared" si="40"/>
        <v>5262.2208686500007</v>
      </c>
      <c r="V65" s="54">
        <f t="shared" si="40"/>
        <v>2494.2074889999999</v>
      </c>
      <c r="W65" s="54">
        <f t="shared" si="40"/>
        <v>2628.310786</v>
      </c>
      <c r="X65" s="54">
        <f t="shared" si="40"/>
        <v>2704.14329077</v>
      </c>
      <c r="Y65" s="54">
        <f t="shared" si="40"/>
        <v>2638.3218655599999</v>
      </c>
      <c r="Z65" s="54">
        <f t="shared" si="40"/>
        <v>2774.1743347399997</v>
      </c>
      <c r="AA65" s="54">
        <f t="shared" si="40"/>
        <v>2578.3292968299997</v>
      </c>
      <c r="AB65" s="54">
        <f t="shared" si="40"/>
        <v>2797.2438487099998</v>
      </c>
      <c r="AC65" s="54">
        <f t="shared" ref="AC65" si="41">SUM(AC66:AC68)</f>
        <v>3284.5394510900001</v>
      </c>
      <c r="AD65" s="54">
        <v>3640.4486329800002</v>
      </c>
      <c r="AE65" s="54">
        <v>3587.8363522300001</v>
      </c>
    </row>
    <row r="66" spans="1:31" x14ac:dyDescent="0.35">
      <c r="A66" s="57">
        <v>63</v>
      </c>
      <c r="D66" s="47" t="s">
        <v>21</v>
      </c>
      <c r="E66" s="47" t="s">
        <v>20</v>
      </c>
      <c r="F66" s="55">
        <v>15536.654494082908</v>
      </c>
      <c r="G66" s="55">
        <v>1480.0124029954998</v>
      </c>
      <c r="H66" s="55">
        <v>1294.0690430000002</v>
      </c>
      <c r="I66" s="55">
        <v>1357.7746299999999</v>
      </c>
      <c r="J66" s="55">
        <v>1523.316098</v>
      </c>
      <c r="K66" s="55">
        <v>1486.913102</v>
      </c>
      <c r="L66" s="55">
        <v>1272.7013569999999</v>
      </c>
      <c r="M66" s="55">
        <v>1214.1287749999999</v>
      </c>
      <c r="N66" s="55">
        <v>1250.5769170000001</v>
      </c>
      <c r="O66" s="55">
        <v>1234.6704949999998</v>
      </c>
      <c r="P66" s="55">
        <v>1492.1011340000002</v>
      </c>
      <c r="Q66" s="55">
        <v>1633.0479559999999</v>
      </c>
      <c r="R66" s="55">
        <v>1791.3074260000001</v>
      </c>
      <c r="S66" s="55">
        <v>6146.9366188599997</v>
      </c>
      <c r="T66" s="55">
        <v>4960.981407629999</v>
      </c>
      <c r="U66" s="55">
        <v>5229.0397866500007</v>
      </c>
      <c r="V66" s="55">
        <v>2465.890723</v>
      </c>
      <c r="W66" s="55">
        <v>2602.8633770000001</v>
      </c>
      <c r="X66" s="55">
        <v>2677.1486837699999</v>
      </c>
      <c r="Y66" s="55">
        <v>2603.9500275599999</v>
      </c>
      <c r="Z66" s="55">
        <v>2750.7138007399999</v>
      </c>
      <c r="AA66" s="55">
        <v>2562.0216098299998</v>
      </c>
      <c r="AB66" s="55">
        <v>2779.12728771</v>
      </c>
      <c r="AC66" s="55">
        <v>3271.2162290900001</v>
      </c>
      <c r="AD66" s="55">
        <v>3624.8598829800003</v>
      </c>
      <c r="AE66" s="55">
        <v>3573.6792332300001</v>
      </c>
    </row>
    <row r="67" spans="1:31" x14ac:dyDescent="0.35">
      <c r="A67" s="57">
        <v>64</v>
      </c>
      <c r="D67" s="47" t="s">
        <v>12</v>
      </c>
      <c r="E67" s="47" t="s">
        <v>22</v>
      </c>
      <c r="F67" s="55">
        <v>43.554921</v>
      </c>
      <c r="G67" s="55">
        <v>39.660035999999991</v>
      </c>
      <c r="H67" s="55">
        <v>54.008620000000008</v>
      </c>
      <c r="I67" s="55">
        <v>54.967039999999997</v>
      </c>
      <c r="J67" s="55">
        <v>54.439283999999994</v>
      </c>
      <c r="K67" s="55">
        <v>49.056500000000007</v>
      </c>
      <c r="L67" s="55">
        <v>43.826492000000002</v>
      </c>
      <c r="M67" s="55">
        <v>42.463042000000002</v>
      </c>
      <c r="N67" s="55">
        <v>34.710081000000002</v>
      </c>
      <c r="O67" s="55">
        <v>28.293331000000002</v>
      </c>
      <c r="P67" s="55">
        <v>28.634687</v>
      </c>
      <c r="Q67" s="55">
        <v>42.303030000000007</v>
      </c>
      <c r="R67" s="55">
        <v>37.787132999999997</v>
      </c>
      <c r="S67" s="55">
        <v>36.451211000000001</v>
      </c>
      <c r="T67" s="55">
        <v>35.471243000000001</v>
      </c>
      <c r="U67" s="55">
        <v>33.181082000000004</v>
      </c>
      <c r="V67" s="55">
        <v>28.316765999999998</v>
      </c>
      <c r="W67" s="55">
        <v>25.447408999999997</v>
      </c>
      <c r="X67" s="55">
        <v>26.994606999999995</v>
      </c>
      <c r="Y67" s="55">
        <v>34.371838000000004</v>
      </c>
      <c r="Z67" s="55">
        <v>23.460533999999999</v>
      </c>
      <c r="AA67" s="55">
        <v>16.307686999999998</v>
      </c>
      <c r="AB67" s="55">
        <v>18.116561000000001</v>
      </c>
      <c r="AC67" s="55">
        <v>13.323221999999999</v>
      </c>
      <c r="AD67" s="55">
        <v>15.588750000000001</v>
      </c>
      <c r="AE67" s="55">
        <v>14.157118999999998</v>
      </c>
    </row>
    <row r="68" spans="1:31" x14ac:dyDescent="0.35">
      <c r="A68" s="57">
        <v>65</v>
      </c>
      <c r="D68" s="47" t="s">
        <v>13</v>
      </c>
      <c r="E68" s="47" t="s">
        <v>23</v>
      </c>
      <c r="F68" s="55">
        <v>0</v>
      </c>
      <c r="G68" s="55">
        <v>0</v>
      </c>
      <c r="H68" s="55">
        <v>0</v>
      </c>
      <c r="I68" s="55">
        <v>0</v>
      </c>
      <c r="J68" s="55">
        <v>0</v>
      </c>
      <c r="K68" s="55">
        <v>0</v>
      </c>
      <c r="L68" s="55">
        <v>0</v>
      </c>
      <c r="M68" s="55">
        <v>0</v>
      </c>
      <c r="N68" s="55">
        <v>0</v>
      </c>
      <c r="O68" s="55">
        <v>0</v>
      </c>
      <c r="P68" s="55">
        <v>0</v>
      </c>
      <c r="Q68" s="55">
        <v>0</v>
      </c>
      <c r="R68" s="55">
        <v>0</v>
      </c>
      <c r="S68" s="55">
        <v>0</v>
      </c>
      <c r="T68" s="55">
        <v>0</v>
      </c>
      <c r="U68" s="55">
        <v>0</v>
      </c>
      <c r="V68" s="55">
        <v>0</v>
      </c>
      <c r="W68" s="55">
        <v>0</v>
      </c>
      <c r="X68" s="55">
        <v>0</v>
      </c>
      <c r="Y68" s="55">
        <v>0</v>
      </c>
      <c r="Z68" s="55">
        <v>0</v>
      </c>
      <c r="AA68" s="55">
        <v>0</v>
      </c>
      <c r="AB68" s="55">
        <v>0</v>
      </c>
      <c r="AC68" s="55">
        <v>0</v>
      </c>
      <c r="AD68" s="55">
        <v>0</v>
      </c>
      <c r="AE68" s="55">
        <v>0</v>
      </c>
    </row>
    <row r="69" spans="1:31" x14ac:dyDescent="0.35">
      <c r="A69" s="57">
        <v>66</v>
      </c>
      <c r="D69" s="46" t="s">
        <v>1</v>
      </c>
      <c r="E69" s="46" t="s">
        <v>24</v>
      </c>
      <c r="F69" s="54">
        <v>3250.1057059064997</v>
      </c>
      <c r="G69" s="54">
        <v>16130.47236964</v>
      </c>
      <c r="H69" s="54">
        <v>15508.551646</v>
      </c>
      <c r="I69" s="54">
        <v>14324.321607999998</v>
      </c>
      <c r="J69" s="54">
        <v>13719.610332999999</v>
      </c>
      <c r="K69" s="54">
        <v>13686.195185</v>
      </c>
      <c r="L69" s="54">
        <v>13780.78472</v>
      </c>
      <c r="M69" s="54">
        <v>13857.538044999999</v>
      </c>
      <c r="N69" s="54">
        <v>13986.6783</v>
      </c>
      <c r="O69" s="54">
        <v>14295.745616999999</v>
      </c>
      <c r="P69" s="54">
        <v>14839.912808103516</v>
      </c>
      <c r="Q69" s="54">
        <v>15266.022253249062</v>
      </c>
      <c r="R69" s="54">
        <v>15494.318889999999</v>
      </c>
      <c r="S69" s="54">
        <v>15753.10126360198</v>
      </c>
      <c r="T69" s="54">
        <v>15755.677513000001</v>
      </c>
      <c r="U69" s="54">
        <v>16098.856919009999</v>
      </c>
      <c r="V69" s="54">
        <v>16191.316912999899</v>
      </c>
      <c r="W69" s="54">
        <v>16407.558421999998</v>
      </c>
      <c r="X69" s="54">
        <v>16394.837558949999</v>
      </c>
      <c r="Y69" s="54">
        <v>16420.501608930001</v>
      </c>
      <c r="Z69" s="54">
        <v>16336.358915299998</v>
      </c>
      <c r="AA69" s="54">
        <v>16260.505227830001</v>
      </c>
      <c r="AB69" s="54">
        <v>16191.895572869998</v>
      </c>
      <c r="AC69" s="54">
        <v>16267.654944529999</v>
      </c>
      <c r="AD69" s="54">
        <v>16246.312769289998</v>
      </c>
      <c r="AE69" s="54">
        <v>16409.451792479998</v>
      </c>
    </row>
    <row r="70" spans="1:31" x14ac:dyDescent="0.35">
      <c r="A70" s="57">
        <v>67</v>
      </c>
      <c r="D70" s="46" t="s">
        <v>25</v>
      </c>
      <c r="E70" s="46" t="s">
        <v>26</v>
      </c>
      <c r="F70" s="54">
        <v>153.03196200000002</v>
      </c>
      <c r="G70" s="54">
        <v>393.24539900000002</v>
      </c>
      <c r="H70" s="54">
        <v>387.497612</v>
      </c>
      <c r="I70" s="54">
        <v>271.70414399999999</v>
      </c>
      <c r="J70" s="54">
        <v>348.02484700000002</v>
      </c>
      <c r="K70" s="54">
        <v>358.472532</v>
      </c>
      <c r="L70" s="54">
        <v>337.593456</v>
      </c>
      <c r="M70" s="54">
        <v>469.151297</v>
      </c>
      <c r="N70" s="54">
        <v>316.32026099999996</v>
      </c>
      <c r="O70" s="54">
        <v>375.34196199999997</v>
      </c>
      <c r="P70" s="54">
        <v>348.06567999999999</v>
      </c>
      <c r="Q70" s="54">
        <v>358.54099600000001</v>
      </c>
      <c r="R70" s="54">
        <v>381.80105300000002</v>
      </c>
      <c r="S70" s="54">
        <v>378.49820600000004</v>
      </c>
      <c r="T70" s="54">
        <v>361.40544400000005</v>
      </c>
      <c r="U70" s="54">
        <v>357.95193700000004</v>
      </c>
      <c r="V70" s="54">
        <v>349.12775699999997</v>
      </c>
      <c r="W70" s="54">
        <v>367.00872199999998</v>
      </c>
      <c r="X70" s="54">
        <v>330.99829299999999</v>
      </c>
      <c r="Y70" s="54">
        <v>308.559257</v>
      </c>
      <c r="Z70" s="54">
        <v>316.77303799999999</v>
      </c>
      <c r="AA70" s="54">
        <v>301.28603900000002</v>
      </c>
      <c r="AB70" s="54">
        <v>301.33799399999998</v>
      </c>
      <c r="AC70" s="54">
        <v>296.18902000000003</v>
      </c>
      <c r="AD70" s="54">
        <v>308.12316600000003</v>
      </c>
      <c r="AE70" s="54">
        <v>306.84696100000002</v>
      </c>
    </row>
    <row r="71" spans="1:31" ht="15.5" x14ac:dyDescent="0.35">
      <c r="A71" s="57">
        <v>68</v>
      </c>
      <c r="D71" s="45" t="s">
        <v>15</v>
      </c>
      <c r="E71" s="45" t="s">
        <v>17</v>
      </c>
      <c r="F71" s="52">
        <v>10377.0432431266</v>
      </c>
      <c r="G71" s="52">
        <v>8918.9198615999994</v>
      </c>
      <c r="H71" s="52">
        <v>8272.6114190000008</v>
      </c>
      <c r="I71" s="52">
        <v>8951.4935354900008</v>
      </c>
      <c r="J71" s="52">
        <v>9323.5047130599996</v>
      </c>
      <c r="K71" s="52">
        <v>9509.5352425300007</v>
      </c>
      <c r="L71" s="52">
        <v>8725.5014470200003</v>
      </c>
      <c r="M71" s="52">
        <v>7793.3090064400003</v>
      </c>
      <c r="N71" s="52">
        <v>7871.6508926399993</v>
      </c>
      <c r="O71" s="52">
        <v>8096.1759838500002</v>
      </c>
      <c r="P71" s="52">
        <v>7919.2934149700004</v>
      </c>
      <c r="Q71" s="52">
        <v>11801.747530550001</v>
      </c>
      <c r="R71" s="52">
        <v>8007.8098501299992</v>
      </c>
      <c r="S71" s="52">
        <v>7937.3390934600002</v>
      </c>
      <c r="T71" s="52">
        <v>8332.9268142300007</v>
      </c>
      <c r="U71" s="52">
        <v>8623.80967676</v>
      </c>
      <c r="V71" s="52">
        <v>10341.21920829</v>
      </c>
      <c r="W71" s="52">
        <v>10049.335047910001</v>
      </c>
      <c r="X71" s="52">
        <v>9558.262547639999</v>
      </c>
      <c r="Y71" s="52">
        <v>9328.0123832600002</v>
      </c>
      <c r="Z71" s="52">
        <v>9304.1238919300013</v>
      </c>
      <c r="AA71" s="52">
        <v>9489.3712790900008</v>
      </c>
      <c r="AB71" s="52">
        <v>9102.5935075399993</v>
      </c>
      <c r="AC71" s="52">
        <v>9022.3977812399989</v>
      </c>
      <c r="AD71" s="52">
        <v>8847.2993041099999</v>
      </c>
      <c r="AE71" s="52">
        <v>8744.8134941900007</v>
      </c>
    </row>
    <row r="72" spans="1:31" ht="9" customHeight="1" x14ac:dyDescent="0.35">
      <c r="A72" s="57">
        <v>69</v>
      </c>
      <c r="D72" s="49"/>
      <c r="E72" s="49"/>
      <c r="F72" s="51">
        <v>0</v>
      </c>
      <c r="G72" s="51">
        <v>0</v>
      </c>
      <c r="H72" s="51">
        <v>0</v>
      </c>
      <c r="I72" s="51">
        <v>0</v>
      </c>
      <c r="J72" s="51">
        <v>0</v>
      </c>
      <c r="K72" s="51">
        <v>0</v>
      </c>
      <c r="L72" s="51">
        <v>0</v>
      </c>
      <c r="M72" s="51">
        <v>0</v>
      </c>
      <c r="N72" s="51">
        <v>0</v>
      </c>
      <c r="O72" s="51">
        <v>0</v>
      </c>
      <c r="P72" s="51">
        <v>0</v>
      </c>
      <c r="Q72" s="51">
        <v>0</v>
      </c>
      <c r="R72" s="51">
        <v>0</v>
      </c>
      <c r="S72" s="51">
        <v>0</v>
      </c>
      <c r="T72" s="51">
        <v>0</v>
      </c>
      <c r="U72" s="51">
        <v>0</v>
      </c>
      <c r="V72" s="51">
        <v>0</v>
      </c>
      <c r="W72" s="51">
        <v>0</v>
      </c>
      <c r="X72" s="51">
        <v>0</v>
      </c>
      <c r="Y72" s="51">
        <v>0</v>
      </c>
      <c r="Z72" s="51">
        <v>0</v>
      </c>
      <c r="AA72" s="51">
        <v>0</v>
      </c>
      <c r="AB72" s="51">
        <v>0</v>
      </c>
      <c r="AC72" s="51">
        <v>0</v>
      </c>
      <c r="AD72" s="51">
        <v>0</v>
      </c>
      <c r="AE72" s="51"/>
    </row>
    <row r="73" spans="1:31" ht="26.15" customHeight="1" x14ac:dyDescent="0.45">
      <c r="A73" s="57">
        <v>70</v>
      </c>
      <c r="B73" s="42"/>
      <c r="C73" s="44" t="s">
        <v>19</v>
      </c>
      <c r="D73" s="44"/>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row>
    <row r="74" spans="1:31" ht="18" customHeight="1" x14ac:dyDescent="0.35">
      <c r="A74" s="57">
        <v>71</v>
      </c>
      <c r="D74" s="45" t="s">
        <v>9</v>
      </c>
      <c r="E74" s="45" t="s">
        <v>30</v>
      </c>
      <c r="F74" s="52">
        <f t="shared" ref="F74:Q74" si="42">F75+F76+F80+F81</f>
        <v>28345.29178585811</v>
      </c>
      <c r="G74" s="52">
        <f t="shared" si="42"/>
        <v>28702.445580510124</v>
      </c>
      <c r="H74" s="52">
        <f t="shared" si="42"/>
        <v>25187.758554392552</v>
      </c>
      <c r="I74" s="52">
        <f t="shared" si="42"/>
        <v>25229.649319631801</v>
      </c>
      <c r="J74" s="52">
        <f t="shared" si="42"/>
        <v>25647.719359378119</v>
      </c>
      <c r="K74" s="52">
        <f t="shared" si="42"/>
        <v>28499.137746119508</v>
      </c>
      <c r="L74" s="52">
        <f t="shared" si="42"/>
        <v>26589.611107305598</v>
      </c>
      <c r="M74" s="52">
        <f t="shared" si="42"/>
        <v>26817.227933026617</v>
      </c>
      <c r="N74" s="52">
        <f t="shared" si="42"/>
        <v>28812.340740953674</v>
      </c>
      <c r="O74" s="52">
        <f t="shared" si="42"/>
        <v>31140.76682834635</v>
      </c>
      <c r="P74" s="52">
        <f t="shared" si="42"/>
        <v>31743.409624118878</v>
      </c>
      <c r="Q74" s="52">
        <f t="shared" si="42"/>
        <v>30697.833693684566</v>
      </c>
      <c r="R74" s="52">
        <f t="shared" ref="R74" si="43">R75+R76+R80+R81</f>
        <v>30627.943015271445</v>
      </c>
      <c r="S74" s="52">
        <f t="shared" ref="S74:AB74" si="44">S75+S76+S80+S81</f>
        <v>32046.68674252868</v>
      </c>
      <c r="T74" s="52">
        <f t="shared" si="44"/>
        <v>33829.691043123676</v>
      </c>
      <c r="U74" s="52">
        <f t="shared" si="44"/>
        <v>34450.532552722689</v>
      </c>
      <c r="V74" s="52">
        <f t="shared" si="44"/>
        <v>34799.523729233835</v>
      </c>
      <c r="W74" s="52">
        <f t="shared" si="44"/>
        <v>32363.662573263813</v>
      </c>
      <c r="X74" s="52">
        <f t="shared" si="44"/>
        <v>31764.481495614222</v>
      </c>
      <c r="Y74" s="52">
        <f t="shared" si="44"/>
        <v>31615.691462179806</v>
      </c>
      <c r="Z74" s="52">
        <f t="shared" si="44"/>
        <v>30949.368736169527</v>
      </c>
      <c r="AA74" s="52">
        <f t="shared" si="44"/>
        <v>33150.581241029307</v>
      </c>
      <c r="AB74" s="52">
        <f t="shared" si="44"/>
        <v>34585.577125404292</v>
      </c>
      <c r="AC74" s="52">
        <f t="shared" ref="AC74" si="45">AC75+AC76+AC80+AC81</f>
        <v>35313.601204713741</v>
      </c>
      <c r="AD74" s="52">
        <v>38918.433798714759</v>
      </c>
      <c r="AE74" s="52">
        <v>38815.683574513008</v>
      </c>
    </row>
    <row r="75" spans="1:31" x14ac:dyDescent="0.35">
      <c r="A75" s="57">
        <v>72</v>
      </c>
      <c r="D75" s="46" t="s">
        <v>10</v>
      </c>
      <c r="E75" s="46" t="s">
        <v>18</v>
      </c>
      <c r="F75" s="55">
        <v>11453.375396873422</v>
      </c>
      <c r="G75" s="55">
        <v>12070.592880519895</v>
      </c>
      <c r="H75" s="55">
        <v>12552.38688056643</v>
      </c>
      <c r="I75" s="55">
        <v>12338.793283075</v>
      </c>
      <c r="J75" s="55">
        <v>12017.830783973926</v>
      </c>
      <c r="K75" s="55">
        <v>12223.754387425328</v>
      </c>
      <c r="L75" s="55">
        <v>12121.561235076513</v>
      </c>
      <c r="M75" s="55">
        <v>12132.551849524376</v>
      </c>
      <c r="N75" s="55">
        <v>12524.318645986234</v>
      </c>
      <c r="O75" s="55">
        <v>12616.862029500955</v>
      </c>
      <c r="P75" s="55">
        <v>12726.649230936426</v>
      </c>
      <c r="Q75" s="55">
        <v>12554.596885267985</v>
      </c>
      <c r="R75" s="55">
        <v>12508.562543888365</v>
      </c>
      <c r="S75" s="55">
        <v>12493.658517974211</v>
      </c>
      <c r="T75" s="55">
        <v>12661.666726679621</v>
      </c>
      <c r="U75" s="55">
        <v>12744.992844135961</v>
      </c>
      <c r="V75" s="55">
        <v>12969.439352852005</v>
      </c>
      <c r="W75" s="55">
        <v>12944.722132290586</v>
      </c>
      <c r="X75" s="55">
        <v>12994.082439314254</v>
      </c>
      <c r="Y75" s="55">
        <v>12923.752000014785</v>
      </c>
      <c r="Z75" s="55">
        <v>12973.039382723122</v>
      </c>
      <c r="AA75" s="55">
        <v>13863.875706352686</v>
      </c>
      <c r="AB75" s="55">
        <v>13847.324751732884</v>
      </c>
      <c r="AC75" s="55">
        <v>13934.394996264144</v>
      </c>
      <c r="AD75" s="55">
        <v>14119.380577875998</v>
      </c>
      <c r="AE75" s="55">
        <v>13329.804480983505</v>
      </c>
    </row>
    <row r="76" spans="1:31" x14ac:dyDescent="0.35">
      <c r="A76" s="57">
        <v>73</v>
      </c>
      <c r="D76" s="46" t="s">
        <v>11</v>
      </c>
      <c r="E76" s="46" t="s">
        <v>0</v>
      </c>
      <c r="F76" s="54">
        <f t="shared" ref="F76:Q76" si="46">SUM(F77:F79)</f>
        <v>109.08111167000001</v>
      </c>
      <c r="G76" s="54">
        <f t="shared" si="46"/>
        <v>144.928066</v>
      </c>
      <c r="H76" s="54">
        <f t="shared" si="46"/>
        <v>249.00423900000001</v>
      </c>
      <c r="I76" s="54">
        <f t="shared" si="46"/>
        <v>280.73769600000003</v>
      </c>
      <c r="J76" s="54">
        <f t="shared" si="46"/>
        <v>134.192385</v>
      </c>
      <c r="K76" s="54">
        <f t="shared" si="46"/>
        <v>133.39148</v>
      </c>
      <c r="L76" s="54">
        <f t="shared" si="46"/>
        <v>133.06919499999998</v>
      </c>
      <c r="M76" s="54">
        <f t="shared" si="46"/>
        <v>131.96548899999999</v>
      </c>
      <c r="N76" s="54">
        <f t="shared" si="46"/>
        <v>148.38168899999999</v>
      </c>
      <c r="O76" s="54">
        <f t="shared" si="46"/>
        <v>148.38168899999999</v>
      </c>
      <c r="P76" s="54">
        <f t="shared" si="46"/>
        <v>162.75407200000001</v>
      </c>
      <c r="Q76" s="54">
        <f t="shared" si="46"/>
        <v>162.75407200000001</v>
      </c>
      <c r="R76" s="54">
        <f t="shared" ref="R76" si="47">SUM(R77:R79)</f>
        <v>59.803004313093936</v>
      </c>
      <c r="S76" s="54">
        <f t="shared" ref="S76:AB76" si="48">SUM(S77:S79)</f>
        <v>61.125250415916426</v>
      </c>
      <c r="T76" s="54">
        <f t="shared" si="48"/>
        <v>70.734431245342066</v>
      </c>
      <c r="U76" s="54">
        <f t="shared" si="48"/>
        <v>71.054570687114847</v>
      </c>
      <c r="V76" s="54">
        <f t="shared" si="48"/>
        <v>65.259707670954185</v>
      </c>
      <c r="W76" s="54">
        <f t="shared" si="48"/>
        <v>60.136412842913607</v>
      </c>
      <c r="X76" s="54">
        <f t="shared" si="48"/>
        <v>61.491758354028185</v>
      </c>
      <c r="Y76" s="54">
        <f t="shared" si="48"/>
        <v>68.647052995929897</v>
      </c>
      <c r="Z76" s="54">
        <f t="shared" si="48"/>
        <v>61.010104490143497</v>
      </c>
      <c r="AA76" s="54">
        <f t="shared" si="48"/>
        <v>63.464223000082193</v>
      </c>
      <c r="AB76" s="54">
        <f t="shared" si="48"/>
        <v>64.53230877747724</v>
      </c>
      <c r="AC76" s="54">
        <f t="shared" ref="AC76" si="49">SUM(AC77:AC79)</f>
        <v>67.209193965481973</v>
      </c>
      <c r="AD76" s="54">
        <v>66.128867529748334</v>
      </c>
      <c r="AE76" s="54">
        <v>103.79952311501003</v>
      </c>
    </row>
    <row r="77" spans="1:31" x14ac:dyDescent="0.35">
      <c r="A77" s="57">
        <v>74</v>
      </c>
      <c r="D77" s="47" t="s">
        <v>21</v>
      </c>
      <c r="E77" s="47" t="s">
        <v>20</v>
      </c>
      <c r="F77" s="55">
        <v>81.06948100000001</v>
      </c>
      <c r="G77" s="55">
        <v>129.23564300000001</v>
      </c>
      <c r="H77" s="55">
        <v>239.13947300000001</v>
      </c>
      <c r="I77" s="55">
        <v>270.93240600000001</v>
      </c>
      <c r="J77" s="55">
        <v>134.192385</v>
      </c>
      <c r="K77" s="55">
        <v>133.39148</v>
      </c>
      <c r="L77" s="55">
        <v>133.06919499999998</v>
      </c>
      <c r="M77" s="55">
        <v>131.96548899999999</v>
      </c>
      <c r="N77" s="55">
        <v>148.38168899999999</v>
      </c>
      <c r="O77" s="55">
        <v>148.38168899999999</v>
      </c>
      <c r="P77" s="55">
        <v>162.75407200000001</v>
      </c>
      <c r="Q77" s="55">
        <v>162.75407200000001</v>
      </c>
      <c r="R77" s="55">
        <v>59.803004313093936</v>
      </c>
      <c r="S77" s="55">
        <v>61.125250415916426</v>
      </c>
      <c r="T77" s="55">
        <v>70.734431245342066</v>
      </c>
      <c r="U77" s="55">
        <v>71.054570687114847</v>
      </c>
      <c r="V77" s="55">
        <v>62.069384670954186</v>
      </c>
      <c r="W77" s="55">
        <v>58.02774584291361</v>
      </c>
      <c r="X77" s="55">
        <v>59.737273354028183</v>
      </c>
      <c r="Y77" s="55">
        <v>61.909357995929895</v>
      </c>
      <c r="Z77" s="55">
        <v>60.134904490143498</v>
      </c>
      <c r="AA77" s="55">
        <v>61.655323000082191</v>
      </c>
      <c r="AB77" s="55">
        <v>62.739208777477245</v>
      </c>
      <c r="AC77" s="55">
        <v>66.809193965481967</v>
      </c>
      <c r="AD77" s="55">
        <v>65.728867529748328</v>
      </c>
      <c r="AE77" s="55">
        <v>64.064743115010032</v>
      </c>
    </row>
    <row r="78" spans="1:31" x14ac:dyDescent="0.35">
      <c r="A78" s="57">
        <v>75</v>
      </c>
      <c r="D78" s="47" t="s">
        <v>12</v>
      </c>
      <c r="E78" s="47" t="s">
        <v>22</v>
      </c>
      <c r="F78" s="55">
        <v>4.519674000000002</v>
      </c>
      <c r="G78" s="55">
        <v>4.3710769999999997</v>
      </c>
      <c r="H78" s="55">
        <v>0.5336559999999988</v>
      </c>
      <c r="I78" s="55">
        <v>0.21514200000000017</v>
      </c>
      <c r="J78" s="55">
        <v>0</v>
      </c>
      <c r="K78" s="55">
        <v>0</v>
      </c>
      <c r="L78" s="55">
        <v>0</v>
      </c>
      <c r="M78" s="55">
        <v>0</v>
      </c>
      <c r="N78" s="55">
        <v>0</v>
      </c>
      <c r="O78" s="55">
        <v>0</v>
      </c>
      <c r="P78" s="55">
        <v>0</v>
      </c>
      <c r="Q78" s="55">
        <v>0</v>
      </c>
      <c r="R78" s="55">
        <v>0</v>
      </c>
      <c r="S78" s="55">
        <v>0</v>
      </c>
      <c r="T78" s="55">
        <v>0</v>
      </c>
      <c r="U78" s="55">
        <v>0</v>
      </c>
      <c r="V78" s="55">
        <v>3.1903230000000002</v>
      </c>
      <c r="W78" s="55">
        <v>2.1086670000000001</v>
      </c>
      <c r="X78" s="55">
        <v>1.7544850000000001</v>
      </c>
      <c r="Y78" s="55">
        <v>6.7376950000000004</v>
      </c>
      <c r="Z78" s="55">
        <v>0.87519999999999998</v>
      </c>
      <c r="AA78" s="55">
        <v>1.8089</v>
      </c>
      <c r="AB78" s="55">
        <v>1.7930999999999999</v>
      </c>
      <c r="AC78" s="55">
        <v>0.4</v>
      </c>
      <c r="AD78" s="55">
        <v>0.4</v>
      </c>
      <c r="AE78" s="55">
        <v>39.734780000000001</v>
      </c>
    </row>
    <row r="79" spans="1:31" x14ac:dyDescent="0.35">
      <c r="A79" s="57">
        <v>76</v>
      </c>
      <c r="D79" s="47" t="s">
        <v>13</v>
      </c>
      <c r="E79" s="47" t="s">
        <v>23</v>
      </c>
      <c r="F79" s="55">
        <v>23.49195667</v>
      </c>
      <c r="G79" s="55">
        <v>11.321346</v>
      </c>
      <c r="H79" s="55">
        <v>9.3311100000000007</v>
      </c>
      <c r="I79" s="55">
        <v>9.5901479999999992</v>
      </c>
      <c r="J79" s="55">
        <v>0</v>
      </c>
      <c r="K79" s="55">
        <v>0</v>
      </c>
      <c r="L79" s="55">
        <v>0</v>
      </c>
      <c r="M79" s="55">
        <v>0</v>
      </c>
      <c r="N79" s="55">
        <v>0</v>
      </c>
      <c r="O79" s="55">
        <v>0</v>
      </c>
      <c r="P79" s="55">
        <v>0</v>
      </c>
      <c r="Q79" s="55">
        <v>0</v>
      </c>
      <c r="R79" s="55">
        <v>0</v>
      </c>
      <c r="S79" s="55">
        <v>0</v>
      </c>
      <c r="T79" s="55">
        <v>0</v>
      </c>
      <c r="U79" s="55">
        <v>0</v>
      </c>
      <c r="V79" s="55">
        <v>0</v>
      </c>
      <c r="W79" s="55">
        <v>0</v>
      </c>
      <c r="X79" s="55">
        <v>0</v>
      </c>
      <c r="Y79" s="55">
        <v>0</v>
      </c>
      <c r="Z79" s="55">
        <v>0</v>
      </c>
      <c r="AA79" s="55">
        <v>0</v>
      </c>
      <c r="AB79" s="55">
        <v>0</v>
      </c>
      <c r="AC79" s="55">
        <v>0</v>
      </c>
      <c r="AD79" s="55">
        <v>0</v>
      </c>
      <c r="AE79" s="55">
        <v>0</v>
      </c>
    </row>
    <row r="80" spans="1:31" x14ac:dyDescent="0.35">
      <c r="A80" s="57">
        <v>77</v>
      </c>
      <c r="D80" s="46" t="s">
        <v>1</v>
      </c>
      <c r="E80" s="46" t="s">
        <v>24</v>
      </c>
      <c r="F80" s="54">
        <v>10289.394795527407</v>
      </c>
      <c r="G80" s="54">
        <v>8985.9130158224925</v>
      </c>
      <c r="H80" s="54">
        <v>4004.7161000000001</v>
      </c>
      <c r="I80" s="54">
        <v>4011.5691472500002</v>
      </c>
      <c r="J80" s="54">
        <v>4639.0090116800002</v>
      </c>
      <c r="K80" s="54">
        <v>6868.3463408700018</v>
      </c>
      <c r="L80" s="54">
        <v>4679.5395895199981</v>
      </c>
      <c r="M80" s="54">
        <v>4550.9598900400015</v>
      </c>
      <c r="N80" s="54">
        <v>5488.2426949900009</v>
      </c>
      <c r="O80" s="54">
        <v>7613.0780637699991</v>
      </c>
      <c r="P80" s="54">
        <v>7780.8041191600032</v>
      </c>
      <c r="Q80" s="54">
        <v>6589.7171122300006</v>
      </c>
      <c r="R80" s="54">
        <v>6408.1690319400004</v>
      </c>
      <c r="S80" s="54">
        <v>7736.1457373999992</v>
      </c>
      <c r="T80" s="54">
        <v>9019.9471771199987</v>
      </c>
      <c r="U80" s="54">
        <v>9036.0645112399907</v>
      </c>
      <c r="V80" s="54">
        <v>8449.51921081</v>
      </c>
      <c r="W80" s="54">
        <v>5857.3353501600013</v>
      </c>
      <c r="X80" s="54">
        <v>4982.3136028399986</v>
      </c>
      <c r="Y80" s="54">
        <v>4567.0214092999968</v>
      </c>
      <c r="Z80" s="54">
        <v>3443.8975818500003</v>
      </c>
      <c r="AA80" s="54">
        <v>4330.3950184400019</v>
      </c>
      <c r="AB80" s="54">
        <v>6119.7200017700006</v>
      </c>
      <c r="AC80" s="54">
        <v>6417.7938841099995</v>
      </c>
      <c r="AD80" s="54">
        <v>9561.0413279500044</v>
      </c>
      <c r="AE80" s="54">
        <v>9654.7889510699988</v>
      </c>
    </row>
    <row r="81" spans="1:31" x14ac:dyDescent="0.35">
      <c r="A81" s="57">
        <v>78</v>
      </c>
      <c r="D81" s="46" t="s">
        <v>25</v>
      </c>
      <c r="E81" s="46" t="s">
        <v>26</v>
      </c>
      <c r="F81" s="54">
        <v>6493.4404817872819</v>
      </c>
      <c r="G81" s="54">
        <v>7501.0116181677349</v>
      </c>
      <c r="H81" s="54">
        <v>8381.6513348261215</v>
      </c>
      <c r="I81" s="54">
        <v>8598.5491933068006</v>
      </c>
      <c r="J81" s="54">
        <v>8856.6871787241926</v>
      </c>
      <c r="K81" s="54">
        <v>9273.6455378241772</v>
      </c>
      <c r="L81" s="54">
        <v>9655.4410877090886</v>
      </c>
      <c r="M81" s="54">
        <v>10001.75070446224</v>
      </c>
      <c r="N81" s="54">
        <v>10651.397710977441</v>
      </c>
      <c r="O81" s="54">
        <v>10762.445046075392</v>
      </c>
      <c r="P81" s="54">
        <v>11073.20220202245</v>
      </c>
      <c r="Q81" s="54">
        <v>11390.765624186579</v>
      </c>
      <c r="R81" s="54">
        <v>11651.408435129986</v>
      </c>
      <c r="S81" s="54">
        <v>11755.757236738555</v>
      </c>
      <c r="T81" s="54">
        <v>12077.342708078717</v>
      </c>
      <c r="U81" s="54">
        <v>12598.420626659623</v>
      </c>
      <c r="V81" s="54">
        <v>13315.305457900873</v>
      </c>
      <c r="W81" s="54">
        <v>13501.46867797031</v>
      </c>
      <c r="X81" s="54">
        <v>13726.593695105941</v>
      </c>
      <c r="Y81" s="54">
        <v>14056.270999869093</v>
      </c>
      <c r="Z81" s="54">
        <v>14471.421667106259</v>
      </c>
      <c r="AA81" s="54">
        <v>14892.846293236538</v>
      </c>
      <c r="AB81" s="54">
        <v>14554.000063123927</v>
      </c>
      <c r="AC81" s="54">
        <v>14894.203130374117</v>
      </c>
      <c r="AD81" s="54">
        <v>15171.883025359009</v>
      </c>
      <c r="AE81" s="54">
        <v>15727.290619344498</v>
      </c>
    </row>
    <row r="82" spans="1:31" ht="15.5" x14ac:dyDescent="0.35">
      <c r="A82" s="57">
        <v>79</v>
      </c>
      <c r="D82" s="45" t="s">
        <v>15</v>
      </c>
      <c r="E82" s="45" t="s">
        <v>17</v>
      </c>
      <c r="F82" s="52">
        <v>20085.192998465682</v>
      </c>
      <c r="G82" s="52">
        <v>20208.955735610911</v>
      </c>
      <c r="H82" s="52">
        <v>20848.011022986429</v>
      </c>
      <c r="I82" s="52">
        <v>21385.996702438912</v>
      </c>
      <c r="J82" s="52">
        <v>25723.411272289082</v>
      </c>
      <c r="K82" s="52">
        <v>26430.104804819613</v>
      </c>
      <c r="L82" s="52">
        <v>26445.711052943647</v>
      </c>
      <c r="M82" s="52">
        <v>26857.291493283938</v>
      </c>
      <c r="N82" s="52">
        <v>27245.518461159449</v>
      </c>
      <c r="O82" s="52">
        <v>27604.15495494178</v>
      </c>
      <c r="P82" s="52">
        <v>28083.83897818753</v>
      </c>
      <c r="Q82" s="52">
        <v>28094.616569482681</v>
      </c>
      <c r="R82" s="52">
        <v>28667.788553006652</v>
      </c>
      <c r="S82" s="52">
        <v>30404.996784161423</v>
      </c>
      <c r="T82" s="52">
        <v>31436.901523770859</v>
      </c>
      <c r="U82" s="52">
        <v>32385.612455339829</v>
      </c>
      <c r="V82" s="52">
        <v>33404.545396354195</v>
      </c>
      <c r="W82" s="52">
        <v>34323.370748842775</v>
      </c>
      <c r="X82" s="52">
        <v>34281.355396442545</v>
      </c>
      <c r="Y82" s="52">
        <v>34876.529917552085</v>
      </c>
      <c r="Z82" s="52">
        <v>34887.697168319013</v>
      </c>
      <c r="AA82" s="52">
        <v>34245.383945862814</v>
      </c>
      <c r="AB82" s="52">
        <v>33677.193102434983</v>
      </c>
      <c r="AC82" s="52">
        <v>34527.039774450284</v>
      </c>
      <c r="AD82" s="52">
        <v>35155.105238049684</v>
      </c>
      <c r="AE82" s="52">
        <v>36078.179233170151</v>
      </c>
    </row>
    <row r="83" spans="1:31" ht="9" customHeight="1" x14ac:dyDescent="0.35">
      <c r="A83" s="57">
        <v>80</v>
      </c>
      <c r="D83" s="49"/>
      <c r="E83" s="49"/>
      <c r="F83" s="51">
        <v>0</v>
      </c>
      <c r="G83" s="51">
        <v>0</v>
      </c>
      <c r="H83" s="51">
        <v>0</v>
      </c>
      <c r="I83" s="51">
        <v>0</v>
      </c>
      <c r="J83" s="51">
        <v>0</v>
      </c>
      <c r="K83" s="51">
        <v>0</v>
      </c>
      <c r="L83" s="51">
        <v>0</v>
      </c>
      <c r="M83" s="51">
        <v>0</v>
      </c>
      <c r="N83" s="51">
        <v>0</v>
      </c>
      <c r="O83" s="51">
        <v>0</v>
      </c>
      <c r="P83" s="51">
        <v>0</v>
      </c>
      <c r="Q83" s="51">
        <v>0</v>
      </c>
      <c r="R83" s="51">
        <v>0</v>
      </c>
      <c r="S83" s="51">
        <v>0</v>
      </c>
      <c r="T83" s="51">
        <v>0</v>
      </c>
      <c r="U83" s="51">
        <v>0</v>
      </c>
      <c r="V83" s="51">
        <v>0</v>
      </c>
      <c r="W83" s="51">
        <v>0</v>
      </c>
      <c r="X83" s="51">
        <v>0</v>
      </c>
      <c r="Y83" s="51">
        <v>0</v>
      </c>
      <c r="Z83" s="51">
        <v>0</v>
      </c>
      <c r="AA83" s="51">
        <v>0</v>
      </c>
      <c r="AB83" s="51">
        <v>0</v>
      </c>
      <c r="AC83" s="51">
        <v>0</v>
      </c>
      <c r="AD83" s="51">
        <v>0</v>
      </c>
      <c r="AE83" s="51">
        <v>0</v>
      </c>
    </row>
    <row r="84" spans="1:31" ht="35.15" customHeight="1" x14ac:dyDescent="0.45">
      <c r="A84" s="57">
        <v>81</v>
      </c>
      <c r="B84" s="50" t="s">
        <v>35</v>
      </c>
      <c r="C84" s="42"/>
      <c r="D84" s="42"/>
      <c r="F84" s="56"/>
      <c r="G84" s="56"/>
      <c r="H84" s="56"/>
      <c r="I84" s="56"/>
      <c r="J84" s="56"/>
      <c r="K84" s="56"/>
      <c r="L84" s="56"/>
      <c r="M84" s="56"/>
      <c r="N84" s="56"/>
      <c r="O84" s="56"/>
      <c r="P84" s="56"/>
      <c r="Q84" s="56"/>
      <c r="R84" s="56"/>
      <c r="S84" s="56"/>
      <c r="T84" s="56"/>
      <c r="U84" s="56"/>
      <c r="V84" s="56"/>
      <c r="W84" s="56"/>
      <c r="X84" s="56"/>
      <c r="Y84" s="99"/>
      <c r="Z84" s="56"/>
      <c r="AA84" s="56"/>
      <c r="AB84" s="56"/>
      <c r="AC84" s="56"/>
      <c r="AD84" s="56"/>
      <c r="AE84" s="56"/>
    </row>
    <row r="85" spans="1:31" ht="26.15" customHeight="1" x14ac:dyDescent="0.45">
      <c r="A85" s="57">
        <v>82</v>
      </c>
      <c r="B85" s="42"/>
      <c r="C85" s="44" t="s">
        <v>6</v>
      </c>
      <c r="D85" s="44"/>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row>
    <row r="86" spans="1:31" ht="18" customHeight="1" x14ac:dyDescent="0.35">
      <c r="A86" s="57">
        <v>83</v>
      </c>
      <c r="D86" s="45" t="s">
        <v>9</v>
      </c>
      <c r="E86" s="45" t="s">
        <v>30</v>
      </c>
      <c r="F86" s="52">
        <f t="shared" ref="F86:K86" si="50">F87+F88+F92+F93</f>
        <v>82287.817631637707</v>
      </c>
      <c r="G86" s="52">
        <f t="shared" si="50"/>
        <v>92359.760480496596</v>
      </c>
      <c r="H86" s="52">
        <f t="shared" si="50"/>
        <v>103210.98873029002</v>
      </c>
      <c r="I86" s="52">
        <f t="shared" si="50"/>
        <v>114105.30313108</v>
      </c>
      <c r="J86" s="52">
        <f t="shared" si="50"/>
        <v>120945.77345825</v>
      </c>
      <c r="K86" s="52">
        <f t="shared" si="50"/>
        <v>123558.82759759</v>
      </c>
      <c r="L86" s="52">
        <f t="shared" ref="L86:N86" si="51">L87+L88+L92+L93</f>
        <v>127012.11559939</v>
      </c>
      <c r="M86" s="52">
        <f t="shared" si="51"/>
        <v>135360.21384723001</v>
      </c>
      <c r="N86" s="52">
        <f t="shared" si="51"/>
        <v>144810.33121475999</v>
      </c>
      <c r="O86" s="52">
        <f>O87+O88+O92+O93</f>
        <v>145077.54316289001</v>
      </c>
      <c r="P86" s="52">
        <f t="shared" ref="P86" si="52">P87+P88+P92+P93</f>
        <v>150844.27476603998</v>
      </c>
      <c r="Q86" s="52">
        <f t="shared" ref="Q86" si="53">Q87+Q88+Q92+Q93</f>
        <v>154859.06576031999</v>
      </c>
      <c r="R86" s="52">
        <f t="shared" ref="R86" si="54">R87+R88+R92+R93</f>
        <v>161817.13868069</v>
      </c>
      <c r="S86" s="52">
        <f>S87+S88+S92+S93</f>
        <v>154329.01134805998</v>
      </c>
      <c r="T86" s="52">
        <f t="shared" ref="T86" si="55">T87+T88+T92+T93</f>
        <v>159379.04045894998</v>
      </c>
      <c r="U86" s="52">
        <f t="shared" ref="U86" si="56">U87+U88+U92+U93</f>
        <v>175209.54953170998</v>
      </c>
      <c r="V86" s="52">
        <f t="shared" ref="V86" si="57">V87+V88+V92+V93</f>
        <v>177401.14591403</v>
      </c>
      <c r="W86" s="52">
        <f>W87+W88+W92+W93</f>
        <v>180693.27786919</v>
      </c>
      <c r="X86" s="52">
        <f t="shared" ref="X86" si="58">X87+X88+X92+X93</f>
        <v>191712.31891084998</v>
      </c>
      <c r="Y86" s="52">
        <f t="shared" ref="Y86" si="59">Y87+Y88+Y92+Y93</f>
        <v>195390.66804619</v>
      </c>
      <c r="Z86" s="52">
        <f t="shared" ref="Z86" si="60">Z87+Z88+Z92+Z93</f>
        <v>205745.85759560001</v>
      </c>
      <c r="AA86" s="52">
        <f>AA87+AA88+AA92+AA93</f>
        <v>209687.31325762533</v>
      </c>
      <c r="AB86" s="52">
        <f t="shared" ref="AB86:AC86" si="61">AB87+AB88+AB92+AB93</f>
        <v>214728.31130773999</v>
      </c>
      <c r="AC86" s="52">
        <f t="shared" si="61"/>
        <v>220202.73619877</v>
      </c>
      <c r="AD86" s="52">
        <v>224867.66689173001</v>
      </c>
      <c r="AE86" s="52">
        <v>223774.35646233</v>
      </c>
    </row>
    <row r="87" spans="1:31" x14ac:dyDescent="0.35">
      <c r="A87" s="57">
        <v>84</v>
      </c>
      <c r="D87" s="46" t="s">
        <v>10</v>
      </c>
      <c r="E87" s="46" t="s">
        <v>18</v>
      </c>
      <c r="F87" s="54">
        <v>15317.153784899501</v>
      </c>
      <c r="G87" s="54">
        <v>17753.248548940501</v>
      </c>
      <c r="H87" s="54">
        <v>21274.02894</v>
      </c>
      <c r="I87" s="54">
        <v>24882.642119999997</v>
      </c>
      <c r="J87" s="54">
        <v>25555.353722536696</v>
      </c>
      <c r="K87" s="54">
        <v>26892.915912333632</v>
      </c>
      <c r="L87" s="54">
        <v>28706.438396582387</v>
      </c>
      <c r="M87" s="54">
        <v>30865.956632754365</v>
      </c>
      <c r="N87" s="54">
        <v>32703.209880714832</v>
      </c>
      <c r="O87" s="54">
        <v>33584.975997624097</v>
      </c>
      <c r="P87" s="54">
        <v>35083.274399153612</v>
      </c>
      <c r="Q87" s="54">
        <v>36708.491041567293</v>
      </c>
      <c r="R87" s="54">
        <v>38062.266948999997</v>
      </c>
      <c r="S87" s="54">
        <v>38010.196120749999</v>
      </c>
      <c r="T87" s="54">
        <v>38828.713560499993</v>
      </c>
      <c r="U87" s="54">
        <v>39379.600360249984</v>
      </c>
      <c r="V87" s="54">
        <v>42257.788822000002</v>
      </c>
      <c r="W87" s="54">
        <v>45178.22610575</v>
      </c>
      <c r="X87" s="54">
        <v>48089.433084850003</v>
      </c>
      <c r="Y87" s="54">
        <v>51283.476898339999</v>
      </c>
      <c r="Z87" s="54">
        <v>55217.730671339996</v>
      </c>
      <c r="AA87" s="54">
        <v>55158.282758293462</v>
      </c>
      <c r="AB87" s="54">
        <v>57241.258354514175</v>
      </c>
      <c r="AC87" s="54">
        <v>59131.541223162516</v>
      </c>
      <c r="AD87" s="54">
        <v>61869.113675797009</v>
      </c>
      <c r="AE87" s="54">
        <v>64659.895283202306</v>
      </c>
    </row>
    <row r="88" spans="1:31" x14ac:dyDescent="0.35">
      <c r="A88" s="57">
        <v>85</v>
      </c>
      <c r="D88" s="46" t="s">
        <v>11</v>
      </c>
      <c r="E88" s="46" t="s">
        <v>0</v>
      </c>
      <c r="F88" s="54">
        <f t="shared" ref="F88:K88" si="62">SUM(F89:F91)</f>
        <v>15862.769547375299</v>
      </c>
      <c r="G88" s="54">
        <f t="shared" si="62"/>
        <v>17528.658721939999</v>
      </c>
      <c r="H88" s="54">
        <f t="shared" si="62"/>
        <v>19380.253365850003</v>
      </c>
      <c r="I88" s="54">
        <f t="shared" si="62"/>
        <v>23628.660976209998</v>
      </c>
      <c r="J88" s="54">
        <f t="shared" si="62"/>
        <v>25039.160485789998</v>
      </c>
      <c r="K88" s="54">
        <f t="shared" si="62"/>
        <v>25671.277050589997</v>
      </c>
      <c r="L88" s="54">
        <f t="shared" ref="L88:N88" si="63">SUM(L89:L91)</f>
        <v>22553.574591329998</v>
      </c>
      <c r="M88" s="54">
        <f t="shared" si="63"/>
        <v>24594.036874549998</v>
      </c>
      <c r="N88" s="54">
        <f t="shared" si="63"/>
        <v>27136.086991959997</v>
      </c>
      <c r="O88" s="54">
        <f>SUM(O89:O91)</f>
        <v>25814.339788540005</v>
      </c>
      <c r="P88" s="54">
        <f t="shared" ref="P88" si="64">SUM(P89:P91)</f>
        <v>25018.589162200002</v>
      </c>
      <c r="Q88" s="54">
        <f t="shared" ref="Q88" si="65">SUM(Q89:Q91)</f>
        <v>27041.234648810001</v>
      </c>
      <c r="R88" s="54">
        <f t="shared" ref="R88" si="66">SUM(R89:R91)</f>
        <v>27562.867788629999</v>
      </c>
      <c r="S88" s="54">
        <f>SUM(S89:S91)</f>
        <v>30523.882787959999</v>
      </c>
      <c r="T88" s="54">
        <f t="shared" ref="T88" si="67">SUM(T89:T91)</f>
        <v>33281.049960889999</v>
      </c>
      <c r="U88" s="54">
        <f t="shared" ref="U88" si="68">SUM(U89:U91)</f>
        <v>42404.060503489993</v>
      </c>
      <c r="V88" s="54">
        <f t="shared" ref="V88" si="69">SUM(V89:V91)</f>
        <v>42191.627683229999</v>
      </c>
      <c r="W88" s="54">
        <f>SUM(W89:W91)</f>
        <v>43026.526180579996</v>
      </c>
      <c r="X88" s="54">
        <f t="shared" ref="X88" si="70">SUM(X89:X91)</f>
        <v>44979.201093590003</v>
      </c>
      <c r="Y88" s="54">
        <f t="shared" ref="Y88" si="71">SUM(Y89:Y91)</f>
        <v>44152.992987850004</v>
      </c>
      <c r="Z88" s="54">
        <f t="shared" ref="Z88" si="72">SUM(Z89:Z91)</f>
        <v>45989.466887390008</v>
      </c>
      <c r="AA88" s="54">
        <f>SUM(AA89:AA91)</f>
        <v>45380.245501439989</v>
      </c>
      <c r="AB88" s="54">
        <f t="shared" ref="AB88:AC88" si="73">SUM(AB89:AB91)</f>
        <v>45755.556190369993</v>
      </c>
      <c r="AC88" s="54">
        <f t="shared" si="73"/>
        <v>43662.871437480011</v>
      </c>
      <c r="AD88" s="54">
        <v>40375.758429870002</v>
      </c>
      <c r="AE88" s="54">
        <v>37240.85367995</v>
      </c>
    </row>
    <row r="89" spans="1:31" x14ac:dyDescent="0.35">
      <c r="A89" s="57">
        <v>86</v>
      </c>
      <c r="D89" s="47" t="s">
        <v>21</v>
      </c>
      <c r="E89" s="47" t="s">
        <v>20</v>
      </c>
      <c r="F89" s="55">
        <v>14329.645288669999</v>
      </c>
      <c r="G89" s="55">
        <v>16009.150177269998</v>
      </c>
      <c r="H89" s="55">
        <v>17926.700298980002</v>
      </c>
      <c r="I89" s="55">
        <v>22354.416423210001</v>
      </c>
      <c r="J89" s="55">
        <v>23887.600555479999</v>
      </c>
      <c r="K89" s="55">
        <v>24478.981317359998</v>
      </c>
      <c r="L89" s="55">
        <v>21178.882799199997</v>
      </c>
      <c r="M89" s="55">
        <v>23269.141427469996</v>
      </c>
      <c r="N89" s="55">
        <v>25838.163132199996</v>
      </c>
      <c r="O89" s="55">
        <v>24566.347355470003</v>
      </c>
      <c r="P89" s="55">
        <v>23730.231871610002</v>
      </c>
      <c r="Q89" s="55">
        <v>25250.538566020001</v>
      </c>
      <c r="R89" s="55">
        <v>25856.15268367</v>
      </c>
      <c r="S89" s="55">
        <v>28311.415503759999</v>
      </c>
      <c r="T89" s="55">
        <v>31322.464078779998</v>
      </c>
      <c r="U89" s="55">
        <v>40591.616363129993</v>
      </c>
      <c r="V89" s="55">
        <v>40587.744999120005</v>
      </c>
      <c r="W89" s="55">
        <v>41381.280536399994</v>
      </c>
      <c r="X89" s="55">
        <v>43078.966891119999</v>
      </c>
      <c r="Y89" s="55">
        <v>42408.032656100004</v>
      </c>
      <c r="Z89" s="55">
        <v>43810.698500190003</v>
      </c>
      <c r="AA89" s="55">
        <v>43237.769830749989</v>
      </c>
      <c r="AB89" s="55">
        <v>43706.930964319996</v>
      </c>
      <c r="AC89" s="55">
        <v>41418.529258310009</v>
      </c>
      <c r="AD89" s="55">
        <v>38447.928734119996</v>
      </c>
      <c r="AE89" s="55">
        <v>34881.942392860001</v>
      </c>
    </row>
    <row r="90" spans="1:31" x14ac:dyDescent="0.35">
      <c r="A90" s="57">
        <v>87</v>
      </c>
      <c r="D90" s="47" t="s">
        <v>12</v>
      </c>
      <c r="E90" s="47" t="s">
        <v>22</v>
      </c>
      <c r="F90" s="55">
        <v>772.21616363529984</v>
      </c>
      <c r="G90" s="55">
        <v>777.14250843000002</v>
      </c>
      <c r="H90" s="55">
        <v>776.89532824999992</v>
      </c>
      <c r="I90" s="55">
        <v>763.96141564000004</v>
      </c>
      <c r="J90" s="55">
        <v>574.46596683999985</v>
      </c>
      <c r="K90" s="55">
        <v>640.86146680000002</v>
      </c>
      <c r="L90" s="55">
        <v>802.37824975000012</v>
      </c>
      <c r="M90" s="55">
        <v>751.95336378000002</v>
      </c>
      <c r="N90" s="55">
        <v>750.05310037000004</v>
      </c>
      <c r="O90" s="55">
        <v>716.02894937000019</v>
      </c>
      <c r="P90" s="55">
        <v>746.64741272000003</v>
      </c>
      <c r="Q90" s="55">
        <v>1216.3152515300001</v>
      </c>
      <c r="R90" s="55">
        <v>1135.19891809</v>
      </c>
      <c r="S90" s="55">
        <v>1655.1510542299998</v>
      </c>
      <c r="T90" s="55">
        <v>1427.9652363600003</v>
      </c>
      <c r="U90" s="55">
        <v>1255.47476886</v>
      </c>
      <c r="V90" s="55">
        <v>1126.6943351100001</v>
      </c>
      <c r="W90" s="55">
        <v>1181.0182697600001</v>
      </c>
      <c r="X90" s="55">
        <v>1387.0594138700003</v>
      </c>
      <c r="Y90" s="55">
        <v>1194.0129208200001</v>
      </c>
      <c r="Z90" s="55">
        <v>1605.5533398799998</v>
      </c>
      <c r="AA90" s="55">
        <v>1592.6300768099998</v>
      </c>
      <c r="AB90" s="55">
        <v>1551.4131533200002</v>
      </c>
      <c r="AC90" s="55">
        <v>1689.8446614025822</v>
      </c>
      <c r="AD90" s="55">
        <v>1397.1113761361598</v>
      </c>
      <c r="AE90" s="55">
        <v>1823.4374147843871</v>
      </c>
    </row>
    <row r="91" spans="1:31" x14ac:dyDescent="0.35">
      <c r="A91" s="57">
        <v>88</v>
      </c>
      <c r="D91" s="47" t="s">
        <v>13</v>
      </c>
      <c r="E91" s="47" t="s">
        <v>23</v>
      </c>
      <c r="F91" s="55">
        <v>760.90809507000006</v>
      </c>
      <c r="G91" s="55">
        <v>742.36603624000008</v>
      </c>
      <c r="H91" s="55">
        <v>676.65773862000003</v>
      </c>
      <c r="I91" s="55">
        <v>510.28313735999996</v>
      </c>
      <c r="J91" s="55">
        <v>577.09396347000006</v>
      </c>
      <c r="K91" s="55">
        <v>551.43426642999998</v>
      </c>
      <c r="L91" s="55">
        <v>572.31354238000006</v>
      </c>
      <c r="M91" s="55">
        <v>572.94208330000004</v>
      </c>
      <c r="N91" s="55">
        <v>547.87075938999999</v>
      </c>
      <c r="O91" s="55">
        <v>531.96348369999998</v>
      </c>
      <c r="P91" s="55">
        <v>541.7098778699999</v>
      </c>
      <c r="Q91" s="55">
        <v>574.38083126000004</v>
      </c>
      <c r="R91" s="55">
        <v>571.51618686999996</v>
      </c>
      <c r="S91" s="55">
        <v>557.31622996999999</v>
      </c>
      <c r="T91" s="55">
        <v>530.62064574999999</v>
      </c>
      <c r="U91" s="55">
        <v>556.96937150000008</v>
      </c>
      <c r="V91" s="55">
        <v>477.18834899999996</v>
      </c>
      <c r="W91" s="55">
        <v>464.22737442000005</v>
      </c>
      <c r="X91" s="55">
        <v>513.17478859999994</v>
      </c>
      <c r="Y91" s="55">
        <v>550.94741093000005</v>
      </c>
      <c r="Z91" s="55">
        <v>573.21504731999994</v>
      </c>
      <c r="AA91" s="55">
        <v>549.84559388000014</v>
      </c>
      <c r="AB91" s="55">
        <v>497.21207272999999</v>
      </c>
      <c r="AC91" s="55">
        <v>554.497517767418</v>
      </c>
      <c r="AD91" s="55">
        <v>530.71831961383998</v>
      </c>
      <c r="AE91" s="55">
        <v>535.47387230561299</v>
      </c>
    </row>
    <row r="92" spans="1:31" x14ac:dyDescent="0.35">
      <c r="A92" s="57">
        <v>89</v>
      </c>
      <c r="D92" s="46" t="s">
        <v>14</v>
      </c>
      <c r="E92" s="46" t="s">
        <v>24</v>
      </c>
      <c r="F92" s="55">
        <v>3591.4928426000001</v>
      </c>
      <c r="G92" s="55">
        <v>5376.1411723033998</v>
      </c>
      <c r="H92" s="55">
        <v>7671.2113580000005</v>
      </c>
      <c r="I92" s="55">
        <v>7521.6374956000009</v>
      </c>
      <c r="J92" s="55">
        <v>6032.8554927600007</v>
      </c>
      <c r="K92" s="55">
        <v>5933.6568398500012</v>
      </c>
      <c r="L92" s="55">
        <v>9637.8137396000002</v>
      </c>
      <c r="M92" s="55">
        <v>11989.754179750002</v>
      </c>
      <c r="N92" s="55">
        <v>10302.350695959998</v>
      </c>
      <c r="O92" s="55">
        <v>11937.870978430001</v>
      </c>
      <c r="P92" s="55">
        <v>13028.1006284</v>
      </c>
      <c r="Q92" s="55">
        <v>11836.16233087</v>
      </c>
      <c r="R92" s="55">
        <v>14921.367349710001</v>
      </c>
      <c r="S92" s="55">
        <v>12459.7336338</v>
      </c>
      <c r="T92" s="55">
        <v>12806.29945516</v>
      </c>
      <c r="U92" s="55">
        <v>17714.467853729999</v>
      </c>
      <c r="V92" s="55">
        <v>9629.7735932800006</v>
      </c>
      <c r="W92" s="55">
        <v>8110.7162146500013</v>
      </c>
      <c r="X92" s="55">
        <v>9335.0297105800018</v>
      </c>
      <c r="Y92" s="55">
        <v>12566.456029550001</v>
      </c>
      <c r="Z92" s="55">
        <v>11429.833540290001</v>
      </c>
      <c r="AA92" s="55">
        <v>12189.23645692</v>
      </c>
      <c r="AB92" s="55">
        <v>11865.397014040002</v>
      </c>
      <c r="AC92" s="55">
        <v>13661.629745590002</v>
      </c>
      <c r="AD92" s="55">
        <v>15499.56423616</v>
      </c>
      <c r="AE92" s="55">
        <v>16407.160824990002</v>
      </c>
    </row>
    <row r="93" spans="1:31" x14ac:dyDescent="0.35">
      <c r="A93" s="57">
        <v>90</v>
      </c>
      <c r="D93" s="46" t="s">
        <v>25</v>
      </c>
      <c r="E93" s="46" t="s">
        <v>26</v>
      </c>
      <c r="F93" s="55">
        <v>47516.401456762898</v>
      </c>
      <c r="G93" s="55">
        <v>51701.712037312696</v>
      </c>
      <c r="H93" s="55">
        <v>54885.495066440009</v>
      </c>
      <c r="I93" s="55">
        <v>58072.362539270005</v>
      </c>
      <c r="J93" s="55">
        <v>64318.403757163302</v>
      </c>
      <c r="K93" s="55">
        <v>65060.977794816376</v>
      </c>
      <c r="L93" s="55">
        <v>66114.288871877623</v>
      </c>
      <c r="M93" s="55">
        <v>67910.466160175638</v>
      </c>
      <c r="N93" s="55">
        <v>74668.683646125166</v>
      </c>
      <c r="O93" s="55">
        <v>73740.356398295902</v>
      </c>
      <c r="P93" s="55">
        <v>77714.310576286371</v>
      </c>
      <c r="Q93" s="55">
        <v>79273.177739072693</v>
      </c>
      <c r="R93" s="55">
        <v>81270.636593350006</v>
      </c>
      <c r="S93" s="55">
        <v>73335.198805549997</v>
      </c>
      <c r="T93" s="55">
        <v>74462.977482400005</v>
      </c>
      <c r="U93" s="55">
        <v>75711.420814240017</v>
      </c>
      <c r="V93" s="55">
        <v>83321.955815519992</v>
      </c>
      <c r="W93" s="55">
        <v>84377.809368210001</v>
      </c>
      <c r="X93" s="55">
        <v>89308.655021829996</v>
      </c>
      <c r="Y93" s="55">
        <v>87387.742130450002</v>
      </c>
      <c r="Z93" s="55">
        <v>93108.826496580004</v>
      </c>
      <c r="AA93" s="55">
        <v>96959.548540971853</v>
      </c>
      <c r="AB93" s="55">
        <v>99866.099748815832</v>
      </c>
      <c r="AC93" s="55">
        <v>103746.69379253747</v>
      </c>
      <c r="AD93" s="55">
        <v>107123.23054990299</v>
      </c>
      <c r="AE93" s="55">
        <v>105466.4466741877</v>
      </c>
    </row>
    <row r="94" spans="1:31" ht="15.5" x14ac:dyDescent="0.35">
      <c r="A94" s="57">
        <v>91</v>
      </c>
      <c r="D94" s="45" t="s">
        <v>15</v>
      </c>
      <c r="E94" s="45" t="s">
        <v>17</v>
      </c>
      <c r="F94" s="52">
        <v>2169.4365849676001</v>
      </c>
      <c r="G94" s="52">
        <v>2508.8175314065998</v>
      </c>
      <c r="H94" s="52">
        <v>3402.0549856999996</v>
      </c>
      <c r="I94" s="52">
        <v>3193.6177699</v>
      </c>
      <c r="J94" s="52">
        <v>2971.82715216</v>
      </c>
      <c r="K94" s="52">
        <v>3183.9889971599996</v>
      </c>
      <c r="L94" s="52">
        <v>3191.7282120899999</v>
      </c>
      <c r="M94" s="52">
        <v>2271.3842542699999</v>
      </c>
      <c r="N94" s="52">
        <v>2063.2057018800001</v>
      </c>
      <c r="O94" s="52">
        <v>2131.9889266999999</v>
      </c>
      <c r="P94" s="52">
        <v>2184.9486932899999</v>
      </c>
      <c r="Q94" s="52">
        <v>2132.7354917800003</v>
      </c>
      <c r="R94" s="52">
        <v>2220.5658978099996</v>
      </c>
      <c r="S94" s="52">
        <v>2515.16192469</v>
      </c>
      <c r="T94" s="52">
        <v>2727.41558915</v>
      </c>
      <c r="U94" s="52">
        <v>3785.6994371700002</v>
      </c>
      <c r="V94" s="52">
        <v>3597.2455715999999</v>
      </c>
      <c r="W94" s="52">
        <v>3499.6717468100005</v>
      </c>
      <c r="X94" s="52">
        <v>3020.0184271299995</v>
      </c>
      <c r="Y94" s="52">
        <v>2915.31220704</v>
      </c>
      <c r="Z94" s="52">
        <v>3400.3169441499999</v>
      </c>
      <c r="AA94" s="52">
        <v>2955.6139039700001</v>
      </c>
      <c r="AB94" s="52">
        <v>2988.5501621499998</v>
      </c>
      <c r="AC94" s="52">
        <v>3118.0806909700004</v>
      </c>
      <c r="AD94" s="52">
        <v>3294.8581173799998</v>
      </c>
      <c r="AE94" s="52">
        <v>3268.8841241200003</v>
      </c>
    </row>
    <row r="95" spans="1:31" ht="9" customHeight="1" x14ac:dyDescent="0.35">
      <c r="A95" s="57">
        <v>92</v>
      </c>
      <c r="D95" s="49"/>
      <c r="E95" s="49"/>
      <c r="F95" s="51">
        <v>0</v>
      </c>
      <c r="G95" s="51">
        <v>0</v>
      </c>
      <c r="H95" s="51">
        <v>0</v>
      </c>
      <c r="I95" s="51">
        <v>0</v>
      </c>
      <c r="J95" s="51">
        <v>0</v>
      </c>
      <c r="K95" s="51">
        <v>0</v>
      </c>
      <c r="L95" s="51">
        <v>0</v>
      </c>
      <c r="M95" s="51">
        <v>0</v>
      </c>
      <c r="N95" s="51">
        <v>0</v>
      </c>
      <c r="O95" s="51">
        <v>0</v>
      </c>
      <c r="P95" s="51">
        <v>0</v>
      </c>
      <c r="Q95" s="51">
        <v>0</v>
      </c>
      <c r="R95" s="51">
        <v>0</v>
      </c>
      <c r="S95" s="51">
        <v>0</v>
      </c>
      <c r="T95" s="51">
        <v>0</v>
      </c>
      <c r="U95" s="51">
        <v>0</v>
      </c>
      <c r="V95" s="51">
        <v>0</v>
      </c>
      <c r="W95" s="51">
        <v>0</v>
      </c>
      <c r="X95" s="51">
        <v>0</v>
      </c>
      <c r="Y95" s="51">
        <v>0</v>
      </c>
      <c r="Z95" s="51">
        <v>0</v>
      </c>
      <c r="AA95" s="51">
        <v>0</v>
      </c>
      <c r="AB95" s="51">
        <v>0</v>
      </c>
      <c r="AC95" s="51">
        <v>0</v>
      </c>
      <c r="AD95" s="51">
        <v>0</v>
      </c>
      <c r="AE95" s="51">
        <v>0</v>
      </c>
    </row>
    <row r="96" spans="1:31" ht="26.15" customHeight="1" x14ac:dyDescent="0.45">
      <c r="A96" s="57">
        <v>93</v>
      </c>
      <c r="B96" s="42"/>
      <c r="C96" s="44" t="s">
        <v>7</v>
      </c>
      <c r="D96" s="44"/>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row>
    <row r="97" spans="1:31" ht="18" customHeight="1" x14ac:dyDescent="0.35">
      <c r="A97" s="57">
        <v>94</v>
      </c>
      <c r="D97" s="45" t="s">
        <v>9</v>
      </c>
      <c r="E97" s="45" t="s">
        <v>30</v>
      </c>
      <c r="F97" s="52">
        <f t="shared" ref="F97:K97" si="74">F98+F99+F103+F104</f>
        <v>614.44510571000001</v>
      </c>
      <c r="G97" s="52">
        <f t="shared" si="74"/>
        <v>5915.3516043500003</v>
      </c>
      <c r="H97" s="52">
        <f t="shared" si="74"/>
        <v>9217.4314691199997</v>
      </c>
      <c r="I97" s="52">
        <f t="shared" si="74"/>
        <v>6298.7206888200008</v>
      </c>
      <c r="J97" s="52">
        <f t="shared" si="74"/>
        <v>5402.9735891</v>
      </c>
      <c r="K97" s="52">
        <f t="shared" si="74"/>
        <v>3373.4703486999997</v>
      </c>
      <c r="L97" s="52">
        <f t="shared" ref="L97:N97" si="75">L98+L99+L103+L104</f>
        <v>5467.8659062599991</v>
      </c>
      <c r="M97" s="52">
        <f t="shared" si="75"/>
        <v>5463.8205637699994</v>
      </c>
      <c r="N97" s="52">
        <f t="shared" si="75"/>
        <v>6383.3075630800004</v>
      </c>
      <c r="O97" s="52">
        <f>O98+O99+O103+O104</f>
        <v>5379.0185826600009</v>
      </c>
      <c r="P97" s="52">
        <f t="shared" ref="P97" si="76">P98+P99+P103+P104</f>
        <v>4419.3225523099991</v>
      </c>
      <c r="Q97" s="52">
        <f t="shared" ref="Q97" si="77">Q98+Q99+Q103+Q104</f>
        <v>3584.38457733</v>
      </c>
      <c r="R97" s="52">
        <f t="shared" ref="R97" si="78">R98+R99+R103+R104</f>
        <v>3703.8270586899998</v>
      </c>
      <c r="S97" s="52">
        <f>S98+S99+S103+S104</f>
        <v>1258.6147557699999</v>
      </c>
      <c r="T97" s="52">
        <f t="shared" ref="T97" si="79">T98+T99+T103+T104</f>
        <v>1706.4006995299999</v>
      </c>
      <c r="U97" s="52">
        <f t="shared" ref="U97" si="80">U98+U99+U103+U104</f>
        <v>1060.50469492</v>
      </c>
      <c r="V97" s="52">
        <f t="shared" ref="V97" si="81">V98+V99+V103+V104</f>
        <v>6616.8460480399999</v>
      </c>
      <c r="W97" s="52">
        <f>W98+W99+W103+W104</f>
        <v>11599.622110079999</v>
      </c>
      <c r="X97" s="52">
        <f t="shared" ref="X97" si="82">X98+X99+X103+X104</f>
        <v>11792.057391190001</v>
      </c>
      <c r="Y97" s="52">
        <f t="shared" ref="Y97" si="83">Y98+Y99+Y103+Y104</f>
        <v>7417.6295456199996</v>
      </c>
      <c r="Z97" s="52">
        <f t="shared" ref="Z97" si="84">Z98+Z99+Z103+Z104</f>
        <v>11432.76196066</v>
      </c>
      <c r="AA97" s="52">
        <f>AA98+AA99+AA103+AA104</f>
        <v>11336.310098029999</v>
      </c>
      <c r="AB97" s="52">
        <f t="shared" ref="AB97:AC97" si="85">AB98+AB99+AB103+AB104</f>
        <v>7053.7139016800002</v>
      </c>
      <c r="AC97" s="52">
        <f t="shared" si="85"/>
        <v>9845.4017719700023</v>
      </c>
      <c r="AD97" s="52">
        <v>10545.88994682</v>
      </c>
      <c r="AE97" s="52">
        <v>7541.0226905300005</v>
      </c>
    </row>
    <row r="98" spans="1:31" x14ac:dyDescent="0.35">
      <c r="A98" s="57">
        <v>95</v>
      </c>
      <c r="D98" s="46" t="s">
        <v>10</v>
      </c>
      <c r="E98" s="46" t="s">
        <v>18</v>
      </c>
      <c r="F98" s="55">
        <v>0</v>
      </c>
      <c r="G98" s="55">
        <v>0</v>
      </c>
      <c r="H98" s="55">
        <v>0</v>
      </c>
      <c r="I98" s="55">
        <v>0</v>
      </c>
      <c r="J98" s="55">
        <v>0</v>
      </c>
      <c r="K98" s="55">
        <v>0</v>
      </c>
      <c r="L98" s="55">
        <v>0</v>
      </c>
      <c r="M98" s="55">
        <v>0</v>
      </c>
      <c r="N98" s="55">
        <v>0</v>
      </c>
      <c r="O98" s="55">
        <v>0</v>
      </c>
      <c r="P98" s="55">
        <v>0</v>
      </c>
      <c r="Q98" s="55">
        <v>0</v>
      </c>
      <c r="R98" s="55">
        <v>0</v>
      </c>
      <c r="S98" s="55">
        <v>0</v>
      </c>
      <c r="T98" s="55">
        <v>0</v>
      </c>
      <c r="U98" s="55">
        <v>0</v>
      </c>
      <c r="V98" s="55">
        <v>0</v>
      </c>
      <c r="W98" s="55">
        <v>0</v>
      </c>
      <c r="X98" s="55">
        <v>0</v>
      </c>
      <c r="Y98" s="55">
        <v>0</v>
      </c>
      <c r="Z98" s="55">
        <v>0</v>
      </c>
      <c r="AA98" s="55">
        <v>0</v>
      </c>
      <c r="AB98" s="55">
        <v>0</v>
      </c>
      <c r="AC98" s="55">
        <v>0</v>
      </c>
      <c r="AD98" s="55">
        <v>0</v>
      </c>
      <c r="AE98" s="55">
        <v>0</v>
      </c>
    </row>
    <row r="99" spans="1:31" x14ac:dyDescent="0.35">
      <c r="A99" s="57">
        <v>96</v>
      </c>
      <c r="D99" s="46" t="s">
        <v>11</v>
      </c>
      <c r="E99" s="46" t="s">
        <v>0</v>
      </c>
      <c r="F99" s="54">
        <f t="shared" ref="F99:K99" si="86">SUM(F100:F102)</f>
        <v>614.44510571000001</v>
      </c>
      <c r="G99" s="54">
        <f t="shared" si="86"/>
        <v>5915.3516043500003</v>
      </c>
      <c r="H99" s="54">
        <f t="shared" si="86"/>
        <v>9217.4314691199997</v>
      </c>
      <c r="I99" s="54">
        <f t="shared" si="86"/>
        <v>6298.7206888200008</v>
      </c>
      <c r="J99" s="54">
        <f t="shared" si="86"/>
        <v>5402.9735891</v>
      </c>
      <c r="K99" s="54">
        <f t="shared" si="86"/>
        <v>3373.4703486999997</v>
      </c>
      <c r="L99" s="54">
        <f t="shared" ref="L99:N99" si="87">SUM(L100:L102)</f>
        <v>5467.8659062599991</v>
      </c>
      <c r="M99" s="54">
        <f t="shared" si="87"/>
        <v>5463.8205637699994</v>
      </c>
      <c r="N99" s="54">
        <f t="shared" si="87"/>
        <v>6383.3075630800004</v>
      </c>
      <c r="O99" s="54">
        <f>SUM(O100:O102)</f>
        <v>5379.0185826600009</v>
      </c>
      <c r="P99" s="54">
        <f t="shared" ref="P99" si="88">SUM(P100:P102)</f>
        <v>4419.3225523099991</v>
      </c>
      <c r="Q99" s="54">
        <f t="shared" ref="Q99" si="89">SUM(Q100:Q102)</f>
        <v>3584.38457733</v>
      </c>
      <c r="R99" s="54">
        <f t="shared" ref="R99" si="90">SUM(R100:R102)</f>
        <v>3703.8270586899998</v>
      </c>
      <c r="S99" s="54">
        <f>SUM(S100:S102)</f>
        <v>1258.6147557699999</v>
      </c>
      <c r="T99" s="54">
        <f t="shared" ref="T99" si="91">SUM(T100:T102)</f>
        <v>1706.4006995299999</v>
      </c>
      <c r="U99" s="54">
        <f t="shared" ref="U99" si="92">SUM(U100:U102)</f>
        <v>1060.50469492</v>
      </c>
      <c r="V99" s="54">
        <f t="shared" ref="V99" si="93">SUM(V100:V102)</f>
        <v>6616.8460480399999</v>
      </c>
      <c r="W99" s="54">
        <f>SUM(W100:W102)</f>
        <v>11599.622110079999</v>
      </c>
      <c r="X99" s="54">
        <f t="shared" ref="X99" si="94">SUM(X100:X102)</f>
        <v>11705.752338190001</v>
      </c>
      <c r="Y99" s="54">
        <f t="shared" ref="Y99" si="95">SUM(Y100:Y102)</f>
        <v>7160.1985586199999</v>
      </c>
      <c r="Z99" s="54">
        <f t="shared" ref="Z99" si="96">SUM(Z100:Z102)</f>
        <v>11179.999272659999</v>
      </c>
      <c r="AA99" s="54">
        <f>SUM(AA100:AA102)</f>
        <v>10923.607609029999</v>
      </c>
      <c r="AB99" s="54">
        <f t="shared" ref="AB99:AC99" si="97">SUM(AB100:AB102)</f>
        <v>6533.4874036800002</v>
      </c>
      <c r="AC99" s="54">
        <f t="shared" si="97"/>
        <v>9131.900991970002</v>
      </c>
      <c r="AD99" s="54">
        <v>9767.6056998200002</v>
      </c>
      <c r="AE99" s="54">
        <v>6823.4345765300004</v>
      </c>
    </row>
    <row r="100" spans="1:31" x14ac:dyDescent="0.35">
      <c r="A100" s="57">
        <v>97</v>
      </c>
      <c r="D100" s="47" t="s">
        <v>21</v>
      </c>
      <c r="E100" s="47" t="s">
        <v>20</v>
      </c>
      <c r="F100" s="55">
        <v>614.44510571000001</v>
      </c>
      <c r="G100" s="55">
        <v>5810.8465472642856</v>
      </c>
      <c r="H100" s="55">
        <v>8929.2052938557135</v>
      </c>
      <c r="I100" s="55">
        <v>6141.9042716914291</v>
      </c>
      <c r="J100" s="55">
        <v>5402.9735891</v>
      </c>
      <c r="K100" s="55">
        <v>3373.4703486999997</v>
      </c>
      <c r="L100" s="55">
        <v>5467.8659062599991</v>
      </c>
      <c r="M100" s="55">
        <v>5463.8205637699994</v>
      </c>
      <c r="N100" s="55">
        <v>6383.3075630800004</v>
      </c>
      <c r="O100" s="55">
        <v>5379.0185826600009</v>
      </c>
      <c r="P100" s="55">
        <v>4419.3225523099991</v>
      </c>
      <c r="Q100" s="55">
        <v>3584.38457733</v>
      </c>
      <c r="R100" s="55">
        <v>3703.8270586899998</v>
      </c>
      <c r="S100" s="55">
        <v>1258.6147557699999</v>
      </c>
      <c r="T100" s="55">
        <v>1706.4006995299999</v>
      </c>
      <c r="U100" s="55">
        <v>1060.50469492</v>
      </c>
      <c r="V100" s="55">
        <v>6616.8460480399999</v>
      </c>
      <c r="W100" s="55">
        <v>11599.622110079999</v>
      </c>
      <c r="X100" s="55">
        <v>11705.752338190001</v>
      </c>
      <c r="Y100" s="55">
        <v>7160.1985586199999</v>
      </c>
      <c r="Z100" s="55">
        <v>11179.999272659999</v>
      </c>
      <c r="AA100" s="55">
        <v>10923.607609029999</v>
      </c>
      <c r="AB100" s="55">
        <v>6533.4874036800002</v>
      </c>
      <c r="AC100" s="55">
        <v>9131.900991970002</v>
      </c>
      <c r="AD100" s="55">
        <v>9767.6056998200002</v>
      </c>
      <c r="AE100" s="55">
        <v>6823.4345765300004</v>
      </c>
    </row>
    <row r="101" spans="1:31" x14ac:dyDescent="0.35">
      <c r="A101" s="57">
        <v>98</v>
      </c>
      <c r="D101" s="47" t="s">
        <v>12</v>
      </c>
      <c r="E101" s="47" t="s">
        <v>22</v>
      </c>
      <c r="F101" s="55">
        <v>0</v>
      </c>
      <c r="G101" s="55">
        <v>104.50505708571428</v>
      </c>
      <c r="H101" s="55">
        <v>288.22617526428576</v>
      </c>
      <c r="I101" s="55">
        <v>156.81641712857143</v>
      </c>
      <c r="J101" s="55">
        <v>0</v>
      </c>
      <c r="K101" s="55">
        <v>0</v>
      </c>
      <c r="L101" s="55">
        <v>0</v>
      </c>
      <c r="M101" s="55">
        <v>0</v>
      </c>
      <c r="N101" s="55">
        <v>0</v>
      </c>
      <c r="O101" s="55">
        <v>0</v>
      </c>
      <c r="P101" s="55">
        <v>0</v>
      </c>
      <c r="Q101" s="55">
        <v>0</v>
      </c>
      <c r="R101" s="55">
        <v>0</v>
      </c>
      <c r="S101" s="55">
        <v>0</v>
      </c>
      <c r="T101" s="55">
        <v>0</v>
      </c>
      <c r="U101" s="55">
        <v>0</v>
      </c>
      <c r="V101" s="55">
        <v>0</v>
      </c>
      <c r="W101" s="55">
        <v>0</v>
      </c>
      <c r="X101" s="55">
        <v>0</v>
      </c>
      <c r="Y101" s="55">
        <v>0</v>
      </c>
      <c r="Z101" s="55">
        <v>0</v>
      </c>
      <c r="AA101" s="55">
        <v>0</v>
      </c>
      <c r="AB101" s="55">
        <v>0</v>
      </c>
      <c r="AC101" s="55">
        <v>0</v>
      </c>
      <c r="AD101" s="55">
        <v>0</v>
      </c>
      <c r="AE101" s="55">
        <v>0</v>
      </c>
    </row>
    <row r="102" spans="1:31" x14ac:dyDescent="0.35">
      <c r="A102" s="57">
        <v>99</v>
      </c>
      <c r="D102" s="47" t="s">
        <v>13</v>
      </c>
      <c r="E102" s="47" t="s">
        <v>23</v>
      </c>
      <c r="F102" s="55">
        <v>0</v>
      </c>
      <c r="G102" s="55">
        <v>0</v>
      </c>
      <c r="H102" s="55">
        <v>0</v>
      </c>
      <c r="I102" s="55">
        <v>0</v>
      </c>
      <c r="J102" s="55">
        <v>0</v>
      </c>
      <c r="K102" s="55">
        <v>0</v>
      </c>
      <c r="L102" s="55">
        <v>0</v>
      </c>
      <c r="M102" s="55">
        <v>0</v>
      </c>
      <c r="N102" s="55">
        <v>0</v>
      </c>
      <c r="O102" s="55">
        <v>0</v>
      </c>
      <c r="P102" s="55">
        <v>0</v>
      </c>
      <c r="Q102" s="55">
        <v>0</v>
      </c>
      <c r="R102" s="55">
        <v>0</v>
      </c>
      <c r="S102" s="55">
        <v>0</v>
      </c>
      <c r="T102" s="55">
        <v>0</v>
      </c>
      <c r="U102" s="55">
        <v>0</v>
      </c>
      <c r="V102" s="55">
        <v>0</v>
      </c>
      <c r="W102" s="55">
        <v>0</v>
      </c>
      <c r="X102" s="55">
        <v>0</v>
      </c>
      <c r="Y102" s="55">
        <v>0</v>
      </c>
      <c r="Z102" s="55">
        <v>0</v>
      </c>
      <c r="AA102" s="55">
        <v>0</v>
      </c>
      <c r="AB102" s="55">
        <v>0</v>
      </c>
      <c r="AC102" s="55">
        <v>0</v>
      </c>
      <c r="AD102" s="55">
        <v>0</v>
      </c>
      <c r="AE102" s="55">
        <v>0</v>
      </c>
    </row>
    <row r="103" spans="1:31" x14ac:dyDescent="0.35">
      <c r="A103" s="57">
        <v>100</v>
      </c>
      <c r="D103" s="46" t="s">
        <v>1</v>
      </c>
      <c r="E103" s="46" t="s">
        <v>24</v>
      </c>
      <c r="F103" s="54">
        <v>0</v>
      </c>
      <c r="G103" s="54">
        <v>0</v>
      </c>
      <c r="H103" s="54">
        <v>0</v>
      </c>
      <c r="I103" s="54">
        <v>0</v>
      </c>
      <c r="J103" s="54">
        <v>0</v>
      </c>
      <c r="K103" s="54">
        <v>0</v>
      </c>
      <c r="L103" s="54">
        <v>0</v>
      </c>
      <c r="M103" s="54">
        <v>0</v>
      </c>
      <c r="N103" s="54">
        <v>0</v>
      </c>
      <c r="O103" s="54">
        <v>0</v>
      </c>
      <c r="P103" s="54">
        <v>0</v>
      </c>
      <c r="Q103" s="54">
        <v>0</v>
      </c>
      <c r="R103" s="54">
        <v>0</v>
      </c>
      <c r="S103" s="54">
        <v>0</v>
      </c>
      <c r="T103" s="54">
        <v>0</v>
      </c>
      <c r="U103" s="54">
        <v>0</v>
      </c>
      <c r="V103" s="54">
        <v>0</v>
      </c>
      <c r="W103" s="54">
        <v>0</v>
      </c>
      <c r="X103" s="54">
        <v>0</v>
      </c>
      <c r="Y103" s="54">
        <v>0</v>
      </c>
      <c r="Z103" s="54">
        <v>0</v>
      </c>
      <c r="AA103" s="54">
        <v>0</v>
      </c>
      <c r="AB103" s="54">
        <v>0</v>
      </c>
      <c r="AC103" s="54">
        <v>0</v>
      </c>
      <c r="AD103" s="54">
        <v>0</v>
      </c>
      <c r="AE103" s="54">
        <v>0</v>
      </c>
    </row>
    <row r="104" spans="1:31" x14ac:dyDescent="0.35">
      <c r="A104" s="57">
        <v>101</v>
      </c>
      <c r="D104" s="46" t="s">
        <v>25</v>
      </c>
      <c r="E104" s="46" t="s">
        <v>26</v>
      </c>
      <c r="F104" s="54">
        <v>0</v>
      </c>
      <c r="G104" s="54">
        <v>0</v>
      </c>
      <c r="H104" s="54">
        <v>0</v>
      </c>
      <c r="I104" s="54">
        <v>0</v>
      </c>
      <c r="J104" s="54">
        <v>0</v>
      </c>
      <c r="K104" s="54">
        <v>0</v>
      </c>
      <c r="L104" s="54">
        <v>0</v>
      </c>
      <c r="M104" s="54">
        <v>0</v>
      </c>
      <c r="N104" s="54">
        <v>0</v>
      </c>
      <c r="O104" s="54">
        <v>0</v>
      </c>
      <c r="P104" s="54">
        <v>0</v>
      </c>
      <c r="Q104" s="54">
        <v>0</v>
      </c>
      <c r="R104" s="54">
        <v>0</v>
      </c>
      <c r="S104" s="54">
        <v>0</v>
      </c>
      <c r="T104" s="54">
        <v>0</v>
      </c>
      <c r="U104" s="54">
        <v>0</v>
      </c>
      <c r="V104" s="54">
        <v>0</v>
      </c>
      <c r="W104" s="54">
        <v>0</v>
      </c>
      <c r="X104" s="54">
        <v>86.305053000000001</v>
      </c>
      <c r="Y104" s="54">
        <v>257.43098700000002</v>
      </c>
      <c r="Z104" s="54">
        <v>252.762688</v>
      </c>
      <c r="AA104" s="54">
        <v>412.70248900000001</v>
      </c>
      <c r="AB104" s="54">
        <v>520.22649799999999</v>
      </c>
      <c r="AC104" s="54">
        <v>713.50077999999996</v>
      </c>
      <c r="AD104" s="54">
        <v>778.28424700000005</v>
      </c>
      <c r="AE104" s="54">
        <v>717.58811400000002</v>
      </c>
    </row>
    <row r="105" spans="1:31" ht="15.5" x14ac:dyDescent="0.35">
      <c r="A105" s="57">
        <v>102</v>
      </c>
      <c r="D105" s="45" t="s">
        <v>15</v>
      </c>
      <c r="E105" s="45" t="s">
        <v>17</v>
      </c>
      <c r="F105" s="52">
        <v>1124.9279541689998</v>
      </c>
      <c r="G105" s="52">
        <v>1137.7952</v>
      </c>
      <c r="H105" s="52">
        <v>990.55026799999996</v>
      </c>
      <c r="I105" s="52">
        <v>986.72371699999997</v>
      </c>
      <c r="J105" s="52">
        <v>986.79593499999999</v>
      </c>
      <c r="K105" s="52">
        <v>1042.591997</v>
      </c>
      <c r="L105" s="52">
        <v>988.89228100000003</v>
      </c>
      <c r="M105" s="52">
        <v>979.969561</v>
      </c>
      <c r="N105" s="52">
        <v>999.29935699999999</v>
      </c>
      <c r="O105" s="52">
        <v>1041.1106609999999</v>
      </c>
      <c r="P105" s="52">
        <v>1039.1064699999999</v>
      </c>
      <c r="Q105" s="52">
        <v>1020.319207</v>
      </c>
      <c r="R105" s="52">
        <v>1320.8061319999999</v>
      </c>
      <c r="S105" s="52">
        <v>1361.302915</v>
      </c>
      <c r="T105" s="52">
        <v>1594.83743</v>
      </c>
      <c r="U105" s="52">
        <v>1618.7758389999999</v>
      </c>
      <c r="V105" s="52">
        <v>1604.6724850000001</v>
      </c>
      <c r="W105" s="52">
        <v>1574.0022879999999</v>
      </c>
      <c r="X105" s="52">
        <v>1558.5616210000001</v>
      </c>
      <c r="Y105" s="52">
        <v>1551.1102519999999</v>
      </c>
      <c r="Z105" s="52">
        <v>1505.895702</v>
      </c>
      <c r="AA105" s="52">
        <v>639.25275299999998</v>
      </c>
      <c r="AB105" s="52">
        <v>633.59607400000004</v>
      </c>
      <c r="AC105" s="52">
        <v>641.00189799999998</v>
      </c>
      <c r="AD105" s="52">
        <v>1116.0692305099999</v>
      </c>
      <c r="AE105" s="52">
        <v>1133.1188126500001</v>
      </c>
    </row>
    <row r="106" spans="1:31" ht="17.25" customHeight="1" x14ac:dyDescent="0.35">
      <c r="A106" s="57">
        <v>103</v>
      </c>
      <c r="D106" s="49"/>
      <c r="E106" s="49"/>
      <c r="F106" s="51">
        <v>0</v>
      </c>
      <c r="G106" s="51">
        <v>0</v>
      </c>
      <c r="H106" s="51">
        <v>0</v>
      </c>
      <c r="I106" s="51">
        <v>0</v>
      </c>
      <c r="J106" s="51">
        <v>0</v>
      </c>
      <c r="K106" s="51">
        <v>0</v>
      </c>
      <c r="L106" s="51">
        <v>0</v>
      </c>
      <c r="M106" s="51">
        <v>0</v>
      </c>
      <c r="N106" s="51">
        <v>0</v>
      </c>
      <c r="O106" s="51">
        <v>0</v>
      </c>
      <c r="P106" s="51">
        <v>0</v>
      </c>
      <c r="Q106" s="51">
        <v>0</v>
      </c>
      <c r="R106" s="51">
        <v>0</v>
      </c>
      <c r="S106" s="51">
        <v>0</v>
      </c>
      <c r="T106" s="51">
        <v>0</v>
      </c>
      <c r="U106" s="51">
        <v>0</v>
      </c>
      <c r="V106" s="51">
        <v>0</v>
      </c>
      <c r="W106" s="51">
        <v>0</v>
      </c>
      <c r="X106" s="51">
        <v>0</v>
      </c>
      <c r="Y106" s="51">
        <v>0</v>
      </c>
      <c r="Z106" s="51">
        <v>0</v>
      </c>
      <c r="AA106" s="51">
        <v>0</v>
      </c>
      <c r="AB106" s="51">
        <v>0</v>
      </c>
      <c r="AC106" s="51">
        <v>0</v>
      </c>
      <c r="AD106" s="51">
        <v>0</v>
      </c>
      <c r="AE106" s="51">
        <v>0</v>
      </c>
    </row>
    <row r="107" spans="1:31" ht="26.15" customHeight="1" x14ac:dyDescent="0.45">
      <c r="A107" s="57">
        <v>104</v>
      </c>
      <c r="B107" s="42"/>
      <c r="C107" s="44" t="s">
        <v>2</v>
      </c>
      <c r="D107" s="44"/>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row>
    <row r="108" spans="1:31" ht="18" customHeight="1" x14ac:dyDescent="0.35">
      <c r="A108" s="57">
        <v>105</v>
      </c>
      <c r="D108" s="45" t="s">
        <v>9</v>
      </c>
      <c r="E108" s="45" t="s">
        <v>30</v>
      </c>
      <c r="F108" s="52">
        <f t="shared" ref="F108:K108" si="98">F109+F110+F114+F115</f>
        <v>17316.434581166508</v>
      </c>
      <c r="G108" s="52">
        <f t="shared" si="98"/>
        <v>16185.71009764</v>
      </c>
      <c r="H108" s="52">
        <f t="shared" si="98"/>
        <v>15576.393620999999</v>
      </c>
      <c r="I108" s="52">
        <f t="shared" si="98"/>
        <v>14428.364708999998</v>
      </c>
      <c r="J108" s="52">
        <f t="shared" si="98"/>
        <v>13789.232154999998</v>
      </c>
      <c r="K108" s="52">
        <f t="shared" si="98"/>
        <v>13751.598805</v>
      </c>
      <c r="L108" s="52">
        <f t="shared" ref="L108:N108" si="99">L109+L110+L114+L115</f>
        <v>13841.550614</v>
      </c>
      <c r="M108" s="52">
        <f t="shared" si="99"/>
        <v>13916.569066999999</v>
      </c>
      <c r="N108" s="52">
        <f t="shared" si="99"/>
        <v>14040.644264999999</v>
      </c>
      <c r="O108" s="52">
        <f>O109+O110+O114+O115</f>
        <v>14343.446160999998</v>
      </c>
      <c r="P108" s="52">
        <f t="shared" ref="P108" si="100">P109+P110+P114+P115</f>
        <v>14888.858775103517</v>
      </c>
      <c r="Q108" s="52">
        <f t="shared" ref="Q108" si="101">Q109+Q110+Q114+Q115</f>
        <v>15327.058842249064</v>
      </c>
      <c r="R108" s="52">
        <f t="shared" ref="R108" si="102">R109+R110+R114+R115</f>
        <v>15550.472779999998</v>
      </c>
      <c r="S108" s="52">
        <f>S109+S110+S114+S115</f>
        <v>19708.612223461983</v>
      </c>
      <c r="T108" s="52">
        <f t="shared" ref="T108" si="103">T109+T110+T114+T115</f>
        <v>18389.832397630002</v>
      </c>
      <c r="U108" s="52">
        <f t="shared" ref="U108" si="104">U109+U110+U114+U115</f>
        <v>18932.860419659999</v>
      </c>
      <c r="V108" s="52">
        <f t="shared" ref="V108" si="105">V109+V110+V114+V115</f>
        <v>16242.848378999899</v>
      </c>
      <c r="W108" s="52">
        <f>W109+W110+W114+W115</f>
        <v>16452.288127</v>
      </c>
      <c r="X108" s="52">
        <f t="shared" ref="X108" si="106">X109+X110+X114+X115</f>
        <v>16440.481912949999</v>
      </c>
      <c r="Y108" s="52">
        <f t="shared" ref="Y108" si="107">Y109+Y110+Y114+Y115</f>
        <v>16476.327179930002</v>
      </c>
      <c r="Z108" s="52">
        <f t="shared" ref="Z108" si="108">Z109+Z110+Z114+Z115</f>
        <v>16377.560338299998</v>
      </c>
      <c r="AA108" s="52">
        <f>AA109+AA110+AA114+AA115</f>
        <v>16297.14385783</v>
      </c>
      <c r="AB108" s="52">
        <f t="shared" ref="AB108:AC108" si="109">AB109+AB110+AB114+AB115</f>
        <v>16231.261157869998</v>
      </c>
      <c r="AC108" s="52">
        <f t="shared" si="109"/>
        <v>16479.471026889998</v>
      </c>
      <c r="AD108" s="52">
        <v>16429.455801489999</v>
      </c>
      <c r="AE108" s="52">
        <v>16441.516226479998</v>
      </c>
    </row>
    <row r="109" spans="1:31" x14ac:dyDescent="0.35">
      <c r="A109" s="57">
        <v>106</v>
      </c>
      <c r="D109" s="46" t="s">
        <v>10</v>
      </c>
      <c r="E109" s="46" t="s">
        <v>18</v>
      </c>
      <c r="F109" s="54">
        <v>9.6660609999999991</v>
      </c>
      <c r="G109" s="54">
        <v>15.16981</v>
      </c>
      <c r="H109" s="54">
        <v>13.704703</v>
      </c>
      <c r="I109" s="54">
        <v>49.076060999999996</v>
      </c>
      <c r="J109" s="54">
        <v>15.182538000000001</v>
      </c>
      <c r="K109" s="54">
        <v>16.34712</v>
      </c>
      <c r="L109" s="54">
        <v>16.939402000000001</v>
      </c>
      <c r="M109" s="54">
        <v>16.567979999999999</v>
      </c>
      <c r="N109" s="54">
        <v>13.713749</v>
      </c>
      <c r="O109" s="54">
        <v>14.321404000000001</v>
      </c>
      <c r="P109" s="54">
        <v>15.554583000000001</v>
      </c>
      <c r="Q109" s="54">
        <v>14.706541000000001</v>
      </c>
      <c r="R109" s="54">
        <v>14.694796</v>
      </c>
      <c r="S109" s="54">
        <v>14.513635999999998</v>
      </c>
      <c r="T109" s="54">
        <v>15.612393000000001</v>
      </c>
      <c r="U109" s="54">
        <v>16.345479999999998</v>
      </c>
      <c r="V109" s="54">
        <v>16.819499999999998</v>
      </c>
      <c r="W109" s="54">
        <v>19.282296000000002</v>
      </c>
      <c r="X109" s="54">
        <v>22.149746999999998</v>
      </c>
      <c r="Y109" s="54">
        <v>21.453733000000003</v>
      </c>
      <c r="Z109" s="54">
        <v>21.833988999999999</v>
      </c>
      <c r="AA109" s="54">
        <v>20.330942999999998</v>
      </c>
      <c r="AB109" s="54">
        <v>21.249024000000006</v>
      </c>
      <c r="AC109" s="54">
        <v>18.356684999999999</v>
      </c>
      <c r="AD109" s="54">
        <v>17.332750000000001</v>
      </c>
      <c r="AE109" s="54">
        <v>17.907314999999997</v>
      </c>
    </row>
    <row r="110" spans="1:31" x14ac:dyDescent="0.35">
      <c r="A110" s="57">
        <v>107</v>
      </c>
      <c r="D110" s="46" t="s">
        <v>11</v>
      </c>
      <c r="E110" s="46" t="s">
        <v>0</v>
      </c>
      <c r="F110" s="54">
        <f t="shared" ref="F110:K110" si="110">SUM(F111:F113)</f>
        <v>14056.662814260009</v>
      </c>
      <c r="G110" s="54">
        <f t="shared" si="110"/>
        <v>40.067917999999992</v>
      </c>
      <c r="H110" s="54">
        <f t="shared" si="110"/>
        <v>54.13727200000001</v>
      </c>
      <c r="I110" s="54">
        <f t="shared" si="110"/>
        <v>54.967039999999997</v>
      </c>
      <c r="J110" s="54">
        <f t="shared" si="110"/>
        <v>54.439283999999994</v>
      </c>
      <c r="K110" s="54">
        <f t="shared" si="110"/>
        <v>49.056500000000007</v>
      </c>
      <c r="L110" s="54">
        <f t="shared" ref="L110:N110" si="111">SUM(L111:L113)</f>
        <v>43.826492000000002</v>
      </c>
      <c r="M110" s="54">
        <f t="shared" si="111"/>
        <v>42.463042000000002</v>
      </c>
      <c r="N110" s="54">
        <f t="shared" si="111"/>
        <v>34.710081000000002</v>
      </c>
      <c r="O110" s="54">
        <f>SUM(O111:O113)</f>
        <v>28.293331000000002</v>
      </c>
      <c r="P110" s="54">
        <f t="shared" ref="P110" si="112">SUM(P111:P113)</f>
        <v>28.634687</v>
      </c>
      <c r="Q110" s="54">
        <f t="shared" ref="Q110" si="113">SUM(Q111:Q113)</f>
        <v>42.303030000000007</v>
      </c>
      <c r="R110" s="54">
        <f t="shared" ref="R110" si="114">SUM(R111:R113)</f>
        <v>37.787132999999997</v>
      </c>
      <c r="S110" s="54">
        <f>SUM(S111:S113)</f>
        <v>3934.3368458600003</v>
      </c>
      <c r="T110" s="54">
        <f t="shared" ref="T110" si="115">SUM(T111:T113)</f>
        <v>2611.6968826299999</v>
      </c>
      <c r="U110" s="54">
        <f t="shared" ref="U110" si="116">SUM(U111:U113)</f>
        <v>2810.8692746500001</v>
      </c>
      <c r="V110" s="54">
        <f t="shared" ref="V110" si="117">SUM(V111:V113)</f>
        <v>28.316765999999998</v>
      </c>
      <c r="W110" s="54">
        <f>SUM(W111:W113)</f>
        <v>25.447408999999997</v>
      </c>
      <c r="X110" s="54">
        <f t="shared" ref="X110" si="118">SUM(X111:X113)</f>
        <v>26.994606999999995</v>
      </c>
      <c r="Y110" s="54">
        <f t="shared" ref="Y110" si="119">SUM(Y111:Y113)</f>
        <v>34.371838000000004</v>
      </c>
      <c r="Z110" s="54">
        <f t="shared" ref="Z110" si="120">SUM(Z111:Z113)</f>
        <v>23.460533999999999</v>
      </c>
      <c r="AA110" s="54">
        <f>SUM(AA111:AA113)</f>
        <v>16.307686999999998</v>
      </c>
      <c r="AB110" s="54">
        <f t="shared" ref="AB110:AC110" si="121">SUM(AB111:AB113)</f>
        <v>18.116561000000001</v>
      </c>
      <c r="AC110" s="54">
        <f t="shared" si="121"/>
        <v>193.45939735999997</v>
      </c>
      <c r="AD110" s="54">
        <v>165.81028219999999</v>
      </c>
      <c r="AE110" s="54">
        <v>14.157118999999998</v>
      </c>
    </row>
    <row r="111" spans="1:31" x14ac:dyDescent="0.35">
      <c r="A111" s="57">
        <v>108</v>
      </c>
      <c r="D111" s="47" t="s">
        <v>21</v>
      </c>
      <c r="E111" s="47" t="s">
        <v>20</v>
      </c>
      <c r="F111" s="55">
        <v>14013.107893260008</v>
      </c>
      <c r="G111" s="55">
        <v>0.40788200000000002</v>
      </c>
      <c r="H111" s="55">
        <v>0.12865199999999999</v>
      </c>
      <c r="I111" s="55">
        <v>0</v>
      </c>
      <c r="J111" s="55">
        <v>0</v>
      </c>
      <c r="K111" s="55">
        <v>0</v>
      </c>
      <c r="L111" s="55">
        <v>0</v>
      </c>
      <c r="M111" s="55">
        <v>0</v>
      </c>
      <c r="N111" s="55">
        <v>0</v>
      </c>
      <c r="O111" s="55">
        <v>0</v>
      </c>
      <c r="P111" s="55">
        <v>0</v>
      </c>
      <c r="Q111" s="55">
        <v>0</v>
      </c>
      <c r="R111" s="55">
        <v>0</v>
      </c>
      <c r="S111" s="55">
        <v>3897.8856348600002</v>
      </c>
      <c r="T111" s="55">
        <v>2576.2256396299999</v>
      </c>
      <c r="U111" s="55">
        <v>2777.68819265</v>
      </c>
      <c r="V111" s="55">
        <v>0</v>
      </c>
      <c r="W111" s="55">
        <v>0</v>
      </c>
      <c r="X111" s="55">
        <v>0</v>
      </c>
      <c r="Y111" s="55">
        <v>0</v>
      </c>
      <c r="Z111" s="55">
        <v>0</v>
      </c>
      <c r="AA111" s="55">
        <v>0</v>
      </c>
      <c r="AB111" s="55">
        <v>0</v>
      </c>
      <c r="AC111" s="55">
        <v>180.13617535999998</v>
      </c>
      <c r="AD111" s="55">
        <v>150.22153219999998</v>
      </c>
      <c r="AE111" s="55">
        <v>0</v>
      </c>
    </row>
    <row r="112" spans="1:31" x14ac:dyDescent="0.35">
      <c r="A112" s="57">
        <v>109</v>
      </c>
      <c r="D112" s="47" t="s">
        <v>12</v>
      </c>
      <c r="E112" s="47" t="s">
        <v>22</v>
      </c>
      <c r="F112" s="55">
        <v>43.554921</v>
      </c>
      <c r="G112" s="55">
        <v>39.660035999999991</v>
      </c>
      <c r="H112" s="55">
        <v>54.008620000000008</v>
      </c>
      <c r="I112" s="55">
        <v>54.967039999999997</v>
      </c>
      <c r="J112" s="55">
        <v>54.439283999999994</v>
      </c>
      <c r="K112" s="55">
        <v>49.056500000000007</v>
      </c>
      <c r="L112" s="55">
        <v>43.826492000000002</v>
      </c>
      <c r="M112" s="55">
        <v>42.463042000000002</v>
      </c>
      <c r="N112" s="55">
        <v>34.710081000000002</v>
      </c>
      <c r="O112" s="55">
        <v>28.293331000000002</v>
      </c>
      <c r="P112" s="55">
        <v>28.634687</v>
      </c>
      <c r="Q112" s="55">
        <v>42.303030000000007</v>
      </c>
      <c r="R112" s="55">
        <v>37.787132999999997</v>
      </c>
      <c r="S112" s="55">
        <v>36.451211000000001</v>
      </c>
      <c r="T112" s="55">
        <v>35.471243000000001</v>
      </c>
      <c r="U112" s="55">
        <v>33.181082000000004</v>
      </c>
      <c r="V112" s="55">
        <v>28.316765999999998</v>
      </c>
      <c r="W112" s="55">
        <v>25.447408999999997</v>
      </c>
      <c r="X112" s="55">
        <v>26.994606999999995</v>
      </c>
      <c r="Y112" s="55">
        <v>34.371838000000004</v>
      </c>
      <c r="Z112" s="55">
        <v>23.460533999999999</v>
      </c>
      <c r="AA112" s="55">
        <v>16.307686999999998</v>
      </c>
      <c r="AB112" s="55">
        <v>18.116561000000001</v>
      </c>
      <c r="AC112" s="55">
        <v>13.323221999999999</v>
      </c>
      <c r="AD112" s="55">
        <v>15.588750000000001</v>
      </c>
      <c r="AE112" s="55">
        <v>14.157118999999998</v>
      </c>
    </row>
    <row r="113" spans="1:31" x14ac:dyDescent="0.35">
      <c r="A113" s="57">
        <v>110</v>
      </c>
      <c r="D113" s="47" t="s">
        <v>13</v>
      </c>
      <c r="E113" s="47" t="s">
        <v>23</v>
      </c>
      <c r="F113" s="55">
        <v>0</v>
      </c>
      <c r="G113" s="55">
        <v>0</v>
      </c>
      <c r="H113" s="55">
        <v>0</v>
      </c>
      <c r="I113" s="55">
        <v>0</v>
      </c>
      <c r="J113" s="55">
        <v>0</v>
      </c>
      <c r="K113" s="55">
        <v>0</v>
      </c>
      <c r="L113" s="55">
        <v>0</v>
      </c>
      <c r="M113" s="55">
        <v>0</v>
      </c>
      <c r="N113" s="55">
        <v>0</v>
      </c>
      <c r="O113" s="55">
        <v>0</v>
      </c>
      <c r="P113" s="55">
        <v>0</v>
      </c>
      <c r="Q113" s="55">
        <v>0</v>
      </c>
      <c r="R113" s="55">
        <v>0</v>
      </c>
      <c r="S113" s="55">
        <v>0</v>
      </c>
      <c r="T113" s="55">
        <v>0</v>
      </c>
      <c r="U113" s="55">
        <v>0</v>
      </c>
      <c r="V113" s="55">
        <v>0</v>
      </c>
      <c r="W113" s="55">
        <v>0</v>
      </c>
      <c r="X113" s="55">
        <v>0</v>
      </c>
      <c r="Y113" s="55">
        <v>0</v>
      </c>
      <c r="Z113" s="55">
        <v>0</v>
      </c>
      <c r="AA113" s="55">
        <v>0</v>
      </c>
      <c r="AB113" s="55">
        <v>0</v>
      </c>
      <c r="AC113" s="55">
        <v>0</v>
      </c>
      <c r="AD113" s="55">
        <v>0</v>
      </c>
      <c r="AE113" s="55">
        <v>0</v>
      </c>
    </row>
    <row r="114" spans="1:31" x14ac:dyDescent="0.35">
      <c r="A114" s="57">
        <v>111</v>
      </c>
      <c r="D114" s="46" t="s">
        <v>1</v>
      </c>
      <c r="E114" s="46" t="s">
        <v>24</v>
      </c>
      <c r="F114" s="54">
        <v>3250.1057059064997</v>
      </c>
      <c r="G114" s="54">
        <v>16130.47236964</v>
      </c>
      <c r="H114" s="54">
        <v>15508.551646</v>
      </c>
      <c r="I114" s="54">
        <v>14324.321607999998</v>
      </c>
      <c r="J114" s="54">
        <v>13719.610332999999</v>
      </c>
      <c r="K114" s="54">
        <v>13686.195185</v>
      </c>
      <c r="L114" s="54">
        <v>13780.78472</v>
      </c>
      <c r="M114" s="54">
        <v>13857.538044999999</v>
      </c>
      <c r="N114" s="54">
        <v>13986.6783</v>
      </c>
      <c r="O114" s="54">
        <v>14295.745616999999</v>
      </c>
      <c r="P114" s="54">
        <v>14839.912808103516</v>
      </c>
      <c r="Q114" s="54">
        <v>15266.022253249062</v>
      </c>
      <c r="R114" s="54">
        <v>15494.318889999999</v>
      </c>
      <c r="S114" s="54">
        <v>15753.10126360198</v>
      </c>
      <c r="T114" s="54">
        <v>15755.677513000001</v>
      </c>
      <c r="U114" s="54">
        <v>16098.856919009999</v>
      </c>
      <c r="V114" s="54">
        <v>16191.316912999899</v>
      </c>
      <c r="W114" s="54">
        <v>16407.558421999998</v>
      </c>
      <c r="X114" s="54">
        <v>16391.337558949999</v>
      </c>
      <c r="Y114" s="54">
        <v>16420.501608930001</v>
      </c>
      <c r="Z114" s="54">
        <v>16332.265815299997</v>
      </c>
      <c r="AA114" s="54">
        <v>16260.505227830001</v>
      </c>
      <c r="AB114" s="54">
        <v>16191.895572869998</v>
      </c>
      <c r="AC114" s="54">
        <v>16267.654944529999</v>
      </c>
      <c r="AD114" s="54">
        <v>16246.312769289998</v>
      </c>
      <c r="AE114" s="54">
        <v>16409.451792479998</v>
      </c>
    </row>
    <row r="115" spans="1:31" x14ac:dyDescent="0.35">
      <c r="A115" s="57">
        <v>112</v>
      </c>
      <c r="D115" s="46" t="s">
        <v>25</v>
      </c>
      <c r="E115" s="46" t="s">
        <v>26</v>
      </c>
      <c r="F115" s="54">
        <v>0</v>
      </c>
      <c r="G115" s="54">
        <v>0</v>
      </c>
      <c r="H115" s="54">
        <v>0</v>
      </c>
      <c r="I115" s="54">
        <v>0</v>
      </c>
      <c r="J115" s="54">
        <v>0</v>
      </c>
      <c r="K115" s="54">
        <v>0</v>
      </c>
      <c r="L115" s="54">
        <v>0</v>
      </c>
      <c r="M115" s="54">
        <v>0</v>
      </c>
      <c r="N115" s="54">
        <v>5.542135</v>
      </c>
      <c r="O115" s="54">
        <v>5.0858090000000002</v>
      </c>
      <c r="P115" s="54">
        <v>4.756697</v>
      </c>
      <c r="Q115" s="54">
        <v>4.027018</v>
      </c>
      <c r="R115" s="54">
        <v>3.671961</v>
      </c>
      <c r="S115" s="54">
        <v>6.6604780000000003</v>
      </c>
      <c r="T115" s="54">
        <v>6.8456089999999996</v>
      </c>
      <c r="U115" s="54">
        <v>6.7887459999999997</v>
      </c>
      <c r="V115" s="54">
        <v>6.3952</v>
      </c>
      <c r="W115" s="54">
        <v>0</v>
      </c>
      <c r="X115" s="54">
        <v>0</v>
      </c>
      <c r="Y115" s="54">
        <v>0</v>
      </c>
      <c r="Z115" s="54">
        <v>0</v>
      </c>
      <c r="AA115" s="54">
        <v>0</v>
      </c>
      <c r="AB115" s="54">
        <v>0</v>
      </c>
      <c r="AC115" s="54">
        <v>0</v>
      </c>
      <c r="AD115" s="54">
        <v>0</v>
      </c>
      <c r="AE115" s="54">
        <v>0</v>
      </c>
    </row>
    <row r="116" spans="1:31" ht="15.5" x14ac:dyDescent="0.35">
      <c r="A116" s="57">
        <v>113</v>
      </c>
      <c r="D116" s="45" t="s">
        <v>15</v>
      </c>
      <c r="E116" s="45" t="s">
        <v>17</v>
      </c>
      <c r="F116" s="52">
        <v>9258.4342511266004</v>
      </c>
      <c r="G116" s="52">
        <v>7443.9698956000002</v>
      </c>
      <c r="H116" s="52">
        <v>6719.0545380000003</v>
      </c>
      <c r="I116" s="52">
        <v>6173.1217794900003</v>
      </c>
      <c r="J116" s="52">
        <v>5491.5420130599996</v>
      </c>
      <c r="K116" s="52">
        <v>5261.3087875300007</v>
      </c>
      <c r="L116" s="52">
        <v>4822.9095670200004</v>
      </c>
      <c r="M116" s="52">
        <v>4012.4424584400003</v>
      </c>
      <c r="N116" s="52">
        <v>3839.9932166399994</v>
      </c>
      <c r="O116" s="52">
        <v>4107.6852108500007</v>
      </c>
      <c r="P116" s="52">
        <v>3713.93509197</v>
      </c>
      <c r="Q116" s="52">
        <v>7610.1601915500005</v>
      </c>
      <c r="R116" s="52">
        <v>3520.0950851299999</v>
      </c>
      <c r="S116" s="52">
        <v>3567.4712344599998</v>
      </c>
      <c r="T116" s="52">
        <v>3593.5714782300001</v>
      </c>
      <c r="U116" s="52">
        <v>3920.4699317600002</v>
      </c>
      <c r="V116" s="52">
        <v>5205.9395532899998</v>
      </c>
      <c r="W116" s="52">
        <v>5130.8333879100001</v>
      </c>
      <c r="X116" s="52">
        <v>4488.0078204900001</v>
      </c>
      <c r="Y116" s="52">
        <v>4350.1544722600001</v>
      </c>
      <c r="Z116" s="52">
        <v>4415.9604649299999</v>
      </c>
      <c r="AA116" s="52">
        <v>4447.2068770900005</v>
      </c>
      <c r="AB116" s="52">
        <v>4014.7625695399997</v>
      </c>
      <c r="AC116" s="52">
        <v>3941.7623562399999</v>
      </c>
      <c r="AD116" s="52">
        <v>3681.0296651099998</v>
      </c>
      <c r="AE116" s="52">
        <v>3445.5210301900001</v>
      </c>
    </row>
    <row r="117" spans="1:31" ht="9" customHeight="1" x14ac:dyDescent="0.35">
      <c r="A117" s="57">
        <v>114</v>
      </c>
      <c r="D117" s="49"/>
      <c r="E117" s="49"/>
      <c r="F117" s="51">
        <v>0</v>
      </c>
      <c r="G117" s="51">
        <v>0</v>
      </c>
      <c r="H117" s="51">
        <v>0</v>
      </c>
      <c r="I117" s="51">
        <v>0</v>
      </c>
      <c r="J117" s="51">
        <v>0</v>
      </c>
      <c r="K117" s="51">
        <v>0</v>
      </c>
      <c r="L117" s="51">
        <v>0</v>
      </c>
      <c r="M117" s="51">
        <v>0</v>
      </c>
      <c r="N117" s="51">
        <v>0</v>
      </c>
      <c r="O117" s="51">
        <v>0</v>
      </c>
      <c r="P117" s="51">
        <v>0</v>
      </c>
      <c r="Q117" s="51">
        <v>0</v>
      </c>
      <c r="R117" s="51">
        <v>0</v>
      </c>
      <c r="S117" s="51">
        <v>0</v>
      </c>
      <c r="T117" s="51">
        <v>0</v>
      </c>
      <c r="U117" s="51">
        <v>0</v>
      </c>
      <c r="V117" s="51">
        <v>0</v>
      </c>
      <c r="W117" s="51">
        <v>0</v>
      </c>
      <c r="X117" s="51">
        <v>0</v>
      </c>
      <c r="Y117" s="51">
        <v>0</v>
      </c>
      <c r="Z117" s="51">
        <v>0</v>
      </c>
      <c r="AA117" s="51">
        <v>0</v>
      </c>
      <c r="AB117" s="51">
        <v>0</v>
      </c>
      <c r="AC117" s="51">
        <v>0</v>
      </c>
      <c r="AD117" s="51">
        <v>0</v>
      </c>
      <c r="AE117" s="51"/>
    </row>
    <row r="118" spans="1:31" ht="26.15" customHeight="1" x14ac:dyDescent="0.45">
      <c r="A118" s="57">
        <v>115</v>
      </c>
      <c r="B118" s="42"/>
      <c r="C118" s="44" t="s">
        <v>19</v>
      </c>
      <c r="D118" s="44"/>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row>
    <row r="119" spans="1:31" ht="18" customHeight="1" x14ac:dyDescent="0.35">
      <c r="A119" s="57">
        <v>116</v>
      </c>
      <c r="D119" s="45" t="s">
        <v>9</v>
      </c>
      <c r="E119" s="45" t="s">
        <v>30</v>
      </c>
      <c r="F119" s="52">
        <f t="shared" ref="F119:K119" si="122">F120+F121+F125+F126</f>
        <v>27725.822157089624</v>
      </c>
      <c r="G119" s="52">
        <f t="shared" si="122"/>
        <v>27984.850104946985</v>
      </c>
      <c r="H119" s="52">
        <f t="shared" si="122"/>
        <v>24325.640324500891</v>
      </c>
      <c r="I119" s="52">
        <f t="shared" si="122"/>
        <v>23656.513291778167</v>
      </c>
      <c r="J119" s="52">
        <f t="shared" si="122"/>
        <v>23835.138021170726</v>
      </c>
      <c r="K119" s="52">
        <f t="shared" si="122"/>
        <v>26554.363386496545</v>
      </c>
      <c r="L119" s="52">
        <f t="shared" ref="L119:N119" si="123">L120+L121+L125+L126</f>
        <v>24346.640039797909</v>
      </c>
      <c r="M119" s="52">
        <f t="shared" si="123"/>
        <v>24343.439182909206</v>
      </c>
      <c r="N119" s="52">
        <f t="shared" si="123"/>
        <v>26094.793537428075</v>
      </c>
      <c r="O119" s="52">
        <f>O120+O121+O125+O126</f>
        <v>28438.632255110497</v>
      </c>
      <c r="P119" s="52">
        <f t="shared" ref="P119" si="124">P120+P121+P125+P126</f>
        <v>28820.022605899172</v>
      </c>
      <c r="Q119" s="52">
        <f t="shared" ref="Q119" si="125">Q120+Q121+Q125+Q126</f>
        <v>27524.333735201595</v>
      </c>
      <c r="R119" s="52">
        <f t="shared" ref="R119" si="126">R120+R121+R125+R126</f>
        <v>27537.030677170755</v>
      </c>
      <c r="S119" s="52">
        <f>S120+S121+S125+S126</f>
        <v>28941.047595804142</v>
      </c>
      <c r="T119" s="52">
        <f t="shared" ref="T119" si="127">T120+T121+T125+T126</f>
        <v>30679.214236063533</v>
      </c>
      <c r="U119" s="52">
        <f t="shared" ref="U119" si="128">U120+U121+U125+U126</f>
        <v>31023.856487148703</v>
      </c>
      <c r="V119" s="52">
        <f t="shared" ref="V119" si="129">V120+V121+V125+V126</f>
        <v>31156.170185594223</v>
      </c>
      <c r="W119" s="52">
        <f>W120+W121+W125+W126</f>
        <v>28693.390279713392</v>
      </c>
      <c r="X119" s="52">
        <f t="shared" ref="X119" si="130">X120+X121+X125+X126</f>
        <v>27831.65235977677</v>
      </c>
      <c r="Y119" s="52">
        <f t="shared" ref="Y119" si="131">Y120+Y121+Y125+Y126</f>
        <v>27547.511791471152</v>
      </c>
      <c r="Z119" s="52">
        <f t="shared" ref="Z119" si="132">Z120+Z121+Z125+Z126</f>
        <v>26580.429507234658</v>
      </c>
      <c r="AA119" s="52">
        <f>AA120+AA121+AA125+AA126</f>
        <v>28446.360738950134</v>
      </c>
      <c r="AB119" s="52">
        <f t="shared" ref="AB119:AC119" si="133">AB120+AB121+AB125+AB126</f>
        <v>30004.454900066139</v>
      </c>
      <c r="AC119" s="52">
        <f t="shared" si="133"/>
        <v>30655.088157262515</v>
      </c>
      <c r="AD119" s="52">
        <v>34251.31960586596</v>
      </c>
      <c r="AE119" s="52">
        <v>33989.895866031315</v>
      </c>
    </row>
    <row r="120" spans="1:31" x14ac:dyDescent="0.35">
      <c r="A120" s="57">
        <v>117</v>
      </c>
      <c r="D120" s="46" t="s">
        <v>10</v>
      </c>
      <c r="E120" s="46" t="s">
        <v>18</v>
      </c>
      <c r="F120" s="55">
        <v>11009.439455154701</v>
      </c>
      <c r="G120" s="55">
        <v>11604.188681658894</v>
      </c>
      <c r="H120" s="55">
        <v>12073.206404781398</v>
      </c>
      <c r="I120" s="55">
        <v>11745.072334994002</v>
      </c>
      <c r="J120" s="55">
        <v>11412.638328750896</v>
      </c>
      <c r="K120" s="55">
        <v>11687.114249810298</v>
      </c>
      <c r="L120" s="55">
        <v>11521.291278239398</v>
      </c>
      <c r="M120" s="55">
        <v>11485.2042463</v>
      </c>
      <c r="N120" s="55">
        <v>11803.764449568998</v>
      </c>
      <c r="O120" s="55">
        <v>11919.645699940898</v>
      </c>
      <c r="P120" s="55">
        <v>11989.434205228199</v>
      </c>
      <c r="Q120" s="55">
        <v>11776.387710717599</v>
      </c>
      <c r="R120" s="55">
        <v>11738.1946899663</v>
      </c>
      <c r="S120" s="55">
        <v>11711.986954848398</v>
      </c>
      <c r="T120" s="55">
        <v>11825.172593881198</v>
      </c>
      <c r="U120" s="55">
        <v>11844.542146714897</v>
      </c>
      <c r="V120" s="55">
        <v>12119.765753487098</v>
      </c>
      <c r="W120" s="55">
        <v>12061.718111354097</v>
      </c>
      <c r="X120" s="55">
        <v>12039.089463138847</v>
      </c>
      <c r="Y120" s="55">
        <v>11914.329121807097</v>
      </c>
      <c r="Z120" s="55">
        <v>11908.908315347839</v>
      </c>
      <c r="AA120" s="55">
        <v>12728.598810473315</v>
      </c>
      <c r="AB120" s="55">
        <v>12732.627647413425</v>
      </c>
      <c r="AC120" s="55">
        <v>12777.109765374234</v>
      </c>
      <c r="AD120" s="55">
        <v>12959.670344423303</v>
      </c>
      <c r="AE120" s="55">
        <v>12134.992205893008</v>
      </c>
    </row>
    <row r="121" spans="1:31" x14ac:dyDescent="0.35">
      <c r="A121" s="57">
        <v>118</v>
      </c>
      <c r="D121" s="46" t="s">
        <v>11</v>
      </c>
      <c r="E121" s="46" t="s">
        <v>0</v>
      </c>
      <c r="F121" s="54">
        <f t="shared" ref="F121:K121" si="134">SUM(F122:F124)</f>
        <v>28.011630670000002</v>
      </c>
      <c r="G121" s="54">
        <f t="shared" si="134"/>
        <v>15.692423</v>
      </c>
      <c r="H121" s="54">
        <f t="shared" si="134"/>
        <v>9.8647659999999995</v>
      </c>
      <c r="I121" s="54">
        <f t="shared" si="134"/>
        <v>9.8052899999999994</v>
      </c>
      <c r="J121" s="54">
        <f t="shared" si="134"/>
        <v>0</v>
      </c>
      <c r="K121" s="54">
        <f t="shared" si="134"/>
        <v>0</v>
      </c>
      <c r="L121" s="54">
        <f t="shared" ref="L121:N121" si="135">SUM(L122:L124)</f>
        <v>0</v>
      </c>
      <c r="M121" s="54">
        <f t="shared" si="135"/>
        <v>0</v>
      </c>
      <c r="N121" s="54">
        <f t="shared" si="135"/>
        <v>0</v>
      </c>
      <c r="O121" s="54">
        <f>SUM(O122:O124)</f>
        <v>0</v>
      </c>
      <c r="P121" s="54">
        <f t="shared" ref="P121" si="136">SUM(P122:P124)</f>
        <v>0</v>
      </c>
      <c r="Q121" s="54">
        <f t="shared" ref="Q121" si="137">SUM(Q122:Q124)</f>
        <v>0</v>
      </c>
      <c r="R121" s="54">
        <f t="shared" ref="R121" si="138">SUM(R122:R124)</f>
        <v>0</v>
      </c>
      <c r="S121" s="54">
        <f>SUM(S122:S124)</f>
        <v>0</v>
      </c>
      <c r="T121" s="54">
        <f t="shared" ref="T121" si="139">SUM(T122:T124)</f>
        <v>0</v>
      </c>
      <c r="U121" s="54">
        <f t="shared" ref="U121" si="140">SUM(U122:U124)</f>
        <v>0</v>
      </c>
      <c r="V121" s="54">
        <f t="shared" ref="V121" si="141">SUM(V122:V124)</f>
        <v>3.1903230000000002</v>
      </c>
      <c r="W121" s="54">
        <f>SUM(W122:W124)</f>
        <v>2.1086670000000001</v>
      </c>
      <c r="X121" s="54">
        <f t="shared" ref="X121" si="142">SUM(X122:X124)</f>
        <v>1.7544850000000001</v>
      </c>
      <c r="Y121" s="54">
        <f t="shared" ref="Y121" si="143">SUM(Y122:Y124)</f>
        <v>6.7376950000000004</v>
      </c>
      <c r="Z121" s="54">
        <f t="shared" ref="Z121" si="144">SUM(Z122:Z124)</f>
        <v>0.87519999999999998</v>
      </c>
      <c r="AA121" s="54">
        <f>SUM(AA122:AA124)</f>
        <v>1.8089</v>
      </c>
      <c r="AB121" s="54">
        <f t="shared" ref="AB121:AC121" si="145">SUM(AB122:AB124)</f>
        <v>1.7930999999999999</v>
      </c>
      <c r="AC121" s="54">
        <f t="shared" si="145"/>
        <v>0.4</v>
      </c>
      <c r="AD121" s="54">
        <v>0.4</v>
      </c>
      <c r="AE121" s="54">
        <v>39.734780000000001</v>
      </c>
    </row>
    <row r="122" spans="1:31" x14ac:dyDescent="0.35">
      <c r="A122" s="57">
        <v>119</v>
      </c>
      <c r="D122" s="47" t="s">
        <v>21</v>
      </c>
      <c r="E122" s="47" t="s">
        <v>20</v>
      </c>
      <c r="F122" s="55">
        <v>0</v>
      </c>
      <c r="G122" s="55">
        <v>0</v>
      </c>
      <c r="H122" s="55">
        <v>0</v>
      </c>
      <c r="I122" s="55">
        <v>0</v>
      </c>
      <c r="J122" s="55">
        <v>0</v>
      </c>
      <c r="K122" s="55">
        <v>0</v>
      </c>
      <c r="L122" s="55">
        <v>0</v>
      </c>
      <c r="M122" s="55">
        <v>0</v>
      </c>
      <c r="N122" s="55">
        <v>0</v>
      </c>
      <c r="O122" s="55">
        <v>0</v>
      </c>
      <c r="P122" s="55">
        <v>0</v>
      </c>
      <c r="Q122" s="55">
        <v>0</v>
      </c>
      <c r="R122" s="55">
        <v>0</v>
      </c>
      <c r="S122" s="55">
        <v>0</v>
      </c>
      <c r="T122" s="55">
        <v>0</v>
      </c>
      <c r="U122" s="55">
        <v>0</v>
      </c>
      <c r="V122" s="55">
        <v>0</v>
      </c>
      <c r="W122" s="55">
        <v>0</v>
      </c>
      <c r="X122" s="55">
        <v>0</v>
      </c>
      <c r="Y122" s="55">
        <v>0</v>
      </c>
      <c r="Z122" s="55">
        <v>0</v>
      </c>
      <c r="AA122" s="55">
        <v>0</v>
      </c>
      <c r="AB122" s="55">
        <v>0</v>
      </c>
      <c r="AC122" s="55">
        <v>0</v>
      </c>
      <c r="AD122" s="55">
        <v>0</v>
      </c>
      <c r="AE122" s="55">
        <v>0</v>
      </c>
    </row>
    <row r="123" spans="1:31" x14ac:dyDescent="0.35">
      <c r="A123" s="57">
        <v>120</v>
      </c>
      <c r="D123" s="47" t="s">
        <v>12</v>
      </c>
      <c r="E123" s="47" t="s">
        <v>22</v>
      </c>
      <c r="F123" s="55">
        <v>4.519674000000002</v>
      </c>
      <c r="G123" s="55">
        <v>4.3710769999999997</v>
      </c>
      <c r="H123" s="55">
        <v>0.5336559999999988</v>
      </c>
      <c r="I123" s="55">
        <v>0.21514200000000017</v>
      </c>
      <c r="J123" s="55">
        <v>0</v>
      </c>
      <c r="K123" s="55">
        <v>0</v>
      </c>
      <c r="L123" s="55">
        <v>0</v>
      </c>
      <c r="M123" s="55">
        <v>0</v>
      </c>
      <c r="N123" s="55">
        <v>0</v>
      </c>
      <c r="O123" s="55">
        <v>0</v>
      </c>
      <c r="P123" s="55">
        <v>0</v>
      </c>
      <c r="Q123" s="55">
        <v>0</v>
      </c>
      <c r="R123" s="55">
        <v>0</v>
      </c>
      <c r="S123" s="55">
        <v>0</v>
      </c>
      <c r="T123" s="55">
        <v>0</v>
      </c>
      <c r="U123" s="55">
        <v>0</v>
      </c>
      <c r="V123" s="55">
        <v>3.1903230000000002</v>
      </c>
      <c r="W123" s="55">
        <v>2.1086670000000001</v>
      </c>
      <c r="X123" s="55">
        <v>1.7544850000000001</v>
      </c>
      <c r="Y123" s="55">
        <v>6.7376950000000004</v>
      </c>
      <c r="Z123" s="55">
        <v>0.87519999999999998</v>
      </c>
      <c r="AA123" s="55">
        <v>1.8089</v>
      </c>
      <c r="AB123" s="55">
        <v>1.7930999999999999</v>
      </c>
      <c r="AC123" s="55">
        <v>0.4</v>
      </c>
      <c r="AD123" s="55">
        <v>0.4</v>
      </c>
      <c r="AE123" s="55">
        <v>39.734780000000001</v>
      </c>
    </row>
    <row r="124" spans="1:31" x14ac:dyDescent="0.35">
      <c r="A124" s="57">
        <v>121</v>
      </c>
      <c r="D124" s="47" t="s">
        <v>13</v>
      </c>
      <c r="E124" s="47" t="s">
        <v>23</v>
      </c>
      <c r="F124" s="55">
        <v>23.49195667</v>
      </c>
      <c r="G124" s="55">
        <v>11.321346</v>
      </c>
      <c r="H124" s="55">
        <v>9.3311100000000007</v>
      </c>
      <c r="I124" s="55">
        <v>9.5901479999999992</v>
      </c>
      <c r="J124" s="55">
        <v>0</v>
      </c>
      <c r="K124" s="55">
        <v>0</v>
      </c>
      <c r="L124" s="55">
        <v>0</v>
      </c>
      <c r="M124" s="55">
        <v>0</v>
      </c>
      <c r="N124" s="55">
        <v>0</v>
      </c>
      <c r="O124" s="55">
        <v>0</v>
      </c>
      <c r="P124" s="55">
        <v>0</v>
      </c>
      <c r="Q124" s="55">
        <v>0</v>
      </c>
      <c r="R124" s="55">
        <v>0</v>
      </c>
      <c r="S124" s="55">
        <v>0</v>
      </c>
      <c r="T124" s="55">
        <v>0</v>
      </c>
      <c r="U124" s="55">
        <v>0</v>
      </c>
      <c r="V124" s="55">
        <v>0</v>
      </c>
      <c r="W124" s="55">
        <v>0</v>
      </c>
      <c r="X124" s="55">
        <v>0</v>
      </c>
      <c r="Y124" s="55">
        <v>0</v>
      </c>
      <c r="Z124" s="55">
        <v>0</v>
      </c>
      <c r="AA124" s="55">
        <v>0</v>
      </c>
      <c r="AB124" s="55">
        <v>0</v>
      </c>
      <c r="AC124" s="55">
        <v>0</v>
      </c>
      <c r="AD124" s="55">
        <v>0</v>
      </c>
      <c r="AE124" s="55">
        <v>0</v>
      </c>
    </row>
    <row r="125" spans="1:31" x14ac:dyDescent="0.35">
      <c r="A125" s="57">
        <v>122</v>
      </c>
      <c r="D125" s="46" t="s">
        <v>1</v>
      </c>
      <c r="E125" s="46" t="s">
        <v>24</v>
      </c>
      <c r="F125" s="54">
        <v>10289.03746</v>
      </c>
      <c r="G125" s="54">
        <v>8985.54140964</v>
      </c>
      <c r="H125" s="54">
        <v>4004.7161000000001</v>
      </c>
      <c r="I125" s="54">
        <v>4011.5691472500002</v>
      </c>
      <c r="J125" s="54">
        <v>4639.0090116800002</v>
      </c>
      <c r="K125" s="54">
        <v>6868.3463408700018</v>
      </c>
      <c r="L125" s="54">
        <v>4679.5395895199981</v>
      </c>
      <c r="M125" s="54">
        <v>4550.9598900400015</v>
      </c>
      <c r="N125" s="54">
        <v>5488.2426949900009</v>
      </c>
      <c r="O125" s="54">
        <v>7613.0780637699991</v>
      </c>
      <c r="P125" s="54">
        <v>7780.8041191600032</v>
      </c>
      <c r="Q125" s="54">
        <v>6589.7171122300006</v>
      </c>
      <c r="R125" s="54">
        <v>6408.1690319400004</v>
      </c>
      <c r="S125" s="54">
        <v>7736.1457373999992</v>
      </c>
      <c r="T125" s="54">
        <v>9019.9471771199987</v>
      </c>
      <c r="U125" s="54">
        <v>9036.0645112399907</v>
      </c>
      <c r="V125" s="54">
        <v>8449.51921081</v>
      </c>
      <c r="W125" s="54">
        <v>5857.3353501600013</v>
      </c>
      <c r="X125" s="54">
        <v>4982.3136028399986</v>
      </c>
      <c r="Y125" s="54">
        <v>4567.0214092999968</v>
      </c>
      <c r="Z125" s="54">
        <v>3443.8975818500003</v>
      </c>
      <c r="AA125" s="54">
        <v>4330.3950184400019</v>
      </c>
      <c r="AB125" s="54">
        <v>6119.7200017700006</v>
      </c>
      <c r="AC125" s="54">
        <v>6417.7938841099995</v>
      </c>
      <c r="AD125" s="54">
        <v>9561.0413279500044</v>
      </c>
      <c r="AE125" s="54">
        <v>9654.7889510699988</v>
      </c>
    </row>
    <row r="126" spans="1:31" x14ac:dyDescent="0.35">
      <c r="A126" s="57">
        <v>123</v>
      </c>
      <c r="D126" s="46" t="s">
        <v>25</v>
      </c>
      <c r="E126" s="46" t="s">
        <v>26</v>
      </c>
      <c r="F126" s="54">
        <v>6399.3336112649231</v>
      </c>
      <c r="G126" s="54">
        <v>7379.4275906480889</v>
      </c>
      <c r="H126" s="54">
        <v>8237.8530537194929</v>
      </c>
      <c r="I126" s="54">
        <v>7890.0665195341653</v>
      </c>
      <c r="J126" s="54">
        <v>7783.4906807398302</v>
      </c>
      <c r="K126" s="54">
        <v>7998.9027958162442</v>
      </c>
      <c r="L126" s="54">
        <v>8145.809172038511</v>
      </c>
      <c r="M126" s="54">
        <v>8307.2750465692061</v>
      </c>
      <c r="N126" s="54">
        <v>8802.7863928690749</v>
      </c>
      <c r="O126" s="54">
        <v>8905.9084913995957</v>
      </c>
      <c r="P126" s="54">
        <v>9049.7842815109689</v>
      </c>
      <c r="Q126" s="54">
        <v>9158.2289122539951</v>
      </c>
      <c r="R126" s="54">
        <v>9390.6669552644544</v>
      </c>
      <c r="S126" s="54">
        <v>9492.9149035557439</v>
      </c>
      <c r="T126" s="54">
        <v>9834.0944650623351</v>
      </c>
      <c r="U126" s="54">
        <v>10143.249829193817</v>
      </c>
      <c r="V126" s="54">
        <v>10583.694898297124</v>
      </c>
      <c r="W126" s="54">
        <v>10772.228151199291</v>
      </c>
      <c r="X126" s="54">
        <v>10808.494808797925</v>
      </c>
      <c r="Y126" s="54">
        <v>11059.423565364055</v>
      </c>
      <c r="Z126" s="54">
        <v>11226.748410036818</v>
      </c>
      <c r="AA126" s="54">
        <v>11385.558010036819</v>
      </c>
      <c r="AB126" s="54">
        <v>11150.314150882714</v>
      </c>
      <c r="AC126" s="54">
        <v>11459.78450777828</v>
      </c>
      <c r="AD126" s="54">
        <v>11730.207933492653</v>
      </c>
      <c r="AE126" s="54">
        <v>12160.379929068309</v>
      </c>
    </row>
    <row r="127" spans="1:31" ht="15.5" x14ac:dyDescent="0.35">
      <c r="A127" s="57">
        <v>124</v>
      </c>
      <c r="D127" s="45" t="s">
        <v>15</v>
      </c>
      <c r="E127" s="45" t="s">
        <v>17</v>
      </c>
      <c r="F127" s="52">
        <v>17173.776799743478</v>
      </c>
      <c r="G127" s="52">
        <v>17523.358549620814</v>
      </c>
      <c r="H127" s="52">
        <v>18184.300185806209</v>
      </c>
      <c r="I127" s="52">
        <v>18724.92605387884</v>
      </c>
      <c r="J127" s="52">
        <v>22428.364851833976</v>
      </c>
      <c r="K127" s="52">
        <v>22942.773868857956</v>
      </c>
      <c r="L127" s="52">
        <v>22882.980301791489</v>
      </c>
      <c r="M127" s="52">
        <v>23227.724800728498</v>
      </c>
      <c r="N127" s="52">
        <v>23789.263118788524</v>
      </c>
      <c r="O127" s="52">
        <v>24129.437337592506</v>
      </c>
      <c r="P127" s="52">
        <v>24514.025563931431</v>
      </c>
      <c r="Q127" s="52">
        <v>24411.289923550903</v>
      </c>
      <c r="R127" s="52">
        <v>24836.088041694944</v>
      </c>
      <c r="S127" s="52">
        <v>26343.127247722758</v>
      </c>
      <c r="T127" s="52">
        <v>27240.845449043067</v>
      </c>
      <c r="U127" s="52">
        <v>28144.844568807082</v>
      </c>
      <c r="V127" s="52">
        <v>29355.137314211675</v>
      </c>
      <c r="W127" s="52">
        <v>30100.293532672713</v>
      </c>
      <c r="X127" s="52">
        <v>29985.117733450807</v>
      </c>
      <c r="Y127" s="52">
        <v>30448.700814847241</v>
      </c>
      <c r="Z127" s="52">
        <v>30787.530402522847</v>
      </c>
      <c r="AA127" s="52">
        <v>30143.960480719299</v>
      </c>
      <c r="AB127" s="52">
        <v>29550.962205749816</v>
      </c>
      <c r="AC127" s="52">
        <v>30178.057231515493</v>
      </c>
      <c r="AD127" s="52">
        <v>30773.299288099839</v>
      </c>
      <c r="AE127" s="52">
        <v>31684.204127460944</v>
      </c>
    </row>
    <row r="128" spans="1:31" ht="9" customHeight="1" x14ac:dyDescent="0.35">
      <c r="A128" s="57">
        <v>125</v>
      </c>
      <c r="D128" s="49"/>
      <c r="E128" s="49"/>
      <c r="F128" s="51">
        <v>0</v>
      </c>
      <c r="G128" s="51">
        <v>0</v>
      </c>
      <c r="H128" s="51">
        <v>0</v>
      </c>
      <c r="I128" s="51">
        <v>0</v>
      </c>
      <c r="J128" s="51">
        <v>0</v>
      </c>
      <c r="K128" s="51">
        <v>0</v>
      </c>
      <c r="L128" s="51">
        <v>0</v>
      </c>
      <c r="M128" s="51">
        <v>0</v>
      </c>
      <c r="N128" s="51">
        <v>0</v>
      </c>
      <c r="O128" s="51">
        <v>0</v>
      </c>
      <c r="P128" s="51">
        <v>0</v>
      </c>
      <c r="Q128" s="51">
        <v>0</v>
      </c>
      <c r="R128" s="51">
        <v>0</v>
      </c>
      <c r="S128" s="51">
        <v>0</v>
      </c>
      <c r="T128" s="51">
        <v>0</v>
      </c>
      <c r="U128" s="51">
        <v>0</v>
      </c>
      <c r="V128" s="51">
        <v>0</v>
      </c>
      <c r="W128" s="51">
        <v>0</v>
      </c>
      <c r="X128" s="51">
        <v>0</v>
      </c>
      <c r="Y128" s="51">
        <v>0</v>
      </c>
      <c r="Z128" s="51">
        <v>0</v>
      </c>
      <c r="AA128" s="51">
        <v>0</v>
      </c>
      <c r="AB128" s="51">
        <v>0</v>
      </c>
      <c r="AC128" s="51">
        <v>0</v>
      </c>
      <c r="AD128" s="51">
        <v>0</v>
      </c>
      <c r="AE128" s="51">
        <v>0</v>
      </c>
    </row>
    <row r="129" spans="1:31" ht="35.15" customHeight="1" x14ac:dyDescent="0.45">
      <c r="A129" s="57">
        <v>126</v>
      </c>
      <c r="B129" s="50" t="s">
        <v>36</v>
      </c>
      <c r="C129" s="42"/>
      <c r="D129" s="42"/>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row>
    <row r="130" spans="1:31" ht="26.15" customHeight="1" x14ac:dyDescent="0.45">
      <c r="A130" s="57">
        <v>127</v>
      </c>
      <c r="B130" s="42"/>
      <c r="C130" s="44" t="s">
        <v>7</v>
      </c>
      <c r="D130" s="44"/>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row>
    <row r="131" spans="1:31" ht="18" customHeight="1" x14ac:dyDescent="0.35">
      <c r="A131" s="57">
        <v>128</v>
      </c>
      <c r="D131" s="45" t="s">
        <v>9</v>
      </c>
      <c r="E131" s="45" t="s">
        <v>30</v>
      </c>
      <c r="F131" s="52">
        <f t="shared" ref="F131:K131" si="146">F132+F133+F137+F138</f>
        <v>0</v>
      </c>
      <c r="G131" s="52">
        <f t="shared" si="146"/>
        <v>0</v>
      </c>
      <c r="H131" s="52">
        <f t="shared" si="146"/>
        <v>0</v>
      </c>
      <c r="I131" s="52">
        <f t="shared" si="146"/>
        <v>0</v>
      </c>
      <c r="J131" s="52">
        <f t="shared" si="146"/>
        <v>0</v>
      </c>
      <c r="K131" s="52">
        <f t="shared" si="146"/>
        <v>0</v>
      </c>
      <c r="L131" s="52">
        <f t="shared" ref="L131:AB131" si="147">L132+L133+L137+L138</f>
        <v>0</v>
      </c>
      <c r="M131" s="52">
        <f t="shared" si="147"/>
        <v>0</v>
      </c>
      <c r="N131" s="52">
        <f t="shared" si="147"/>
        <v>0</v>
      </c>
      <c r="O131" s="52">
        <f t="shared" si="147"/>
        <v>0</v>
      </c>
      <c r="P131" s="52">
        <f t="shared" si="147"/>
        <v>0</v>
      </c>
      <c r="Q131" s="52">
        <f t="shared" si="147"/>
        <v>0</v>
      </c>
      <c r="R131" s="52">
        <f t="shared" si="147"/>
        <v>0</v>
      </c>
      <c r="S131" s="52">
        <f t="shared" si="147"/>
        <v>0</v>
      </c>
      <c r="T131" s="52">
        <f t="shared" si="147"/>
        <v>0</v>
      </c>
      <c r="U131" s="52">
        <f t="shared" si="147"/>
        <v>0</v>
      </c>
      <c r="V131" s="52">
        <f t="shared" si="147"/>
        <v>0</v>
      </c>
      <c r="W131" s="52">
        <f t="shared" si="147"/>
        <v>0</v>
      </c>
      <c r="X131" s="52">
        <f t="shared" si="147"/>
        <v>0</v>
      </c>
      <c r="Y131" s="52">
        <f t="shared" si="147"/>
        <v>0</v>
      </c>
      <c r="Z131" s="52">
        <f t="shared" si="147"/>
        <v>0</v>
      </c>
      <c r="AA131" s="52">
        <f t="shared" si="147"/>
        <v>0</v>
      </c>
      <c r="AB131" s="52">
        <f t="shared" si="147"/>
        <v>0</v>
      </c>
      <c r="AC131" s="52">
        <f t="shared" ref="AC131" si="148">AC132+AC133+AC137+AC138</f>
        <v>0</v>
      </c>
      <c r="AD131" s="52">
        <v>0</v>
      </c>
      <c r="AE131" s="52">
        <v>0</v>
      </c>
    </row>
    <row r="132" spans="1:31" x14ac:dyDescent="0.35">
      <c r="A132" s="57">
        <v>129</v>
      </c>
      <c r="D132" s="46" t="s">
        <v>10</v>
      </c>
      <c r="E132" s="46" t="s">
        <v>18</v>
      </c>
      <c r="F132" s="55">
        <v>0</v>
      </c>
      <c r="G132" s="55">
        <v>0</v>
      </c>
      <c r="H132" s="55">
        <v>0</v>
      </c>
      <c r="I132" s="55">
        <v>0</v>
      </c>
      <c r="J132" s="55">
        <v>0</v>
      </c>
      <c r="K132" s="55">
        <v>0</v>
      </c>
      <c r="L132" s="55">
        <v>0</v>
      </c>
      <c r="M132" s="55">
        <v>0</v>
      </c>
      <c r="N132" s="55">
        <v>0</v>
      </c>
      <c r="O132" s="55">
        <v>0</v>
      </c>
      <c r="P132" s="55">
        <v>0</v>
      </c>
      <c r="Q132" s="55">
        <v>0</v>
      </c>
      <c r="R132" s="55">
        <v>0</v>
      </c>
      <c r="S132" s="55">
        <v>0</v>
      </c>
      <c r="T132" s="55">
        <v>0</v>
      </c>
      <c r="U132" s="55">
        <v>0</v>
      </c>
      <c r="V132" s="55">
        <v>0</v>
      </c>
      <c r="W132" s="55">
        <v>0</v>
      </c>
      <c r="X132" s="55">
        <v>0</v>
      </c>
      <c r="Y132" s="55">
        <v>0</v>
      </c>
      <c r="Z132" s="55">
        <v>0</v>
      </c>
      <c r="AA132" s="55">
        <v>0</v>
      </c>
      <c r="AB132" s="55">
        <v>0</v>
      </c>
      <c r="AC132" s="55">
        <v>0</v>
      </c>
      <c r="AD132" s="55">
        <v>0</v>
      </c>
      <c r="AE132" s="55">
        <v>0</v>
      </c>
    </row>
    <row r="133" spans="1:31" x14ac:dyDescent="0.35">
      <c r="A133" s="57">
        <v>130</v>
      </c>
      <c r="D133" s="46" t="s">
        <v>11</v>
      </c>
      <c r="E133" s="46" t="s">
        <v>0</v>
      </c>
      <c r="F133" s="54">
        <f t="shared" ref="F133:K133" si="149">SUM(F134:F136)</f>
        <v>0</v>
      </c>
      <c r="G133" s="54">
        <f t="shared" si="149"/>
        <v>0</v>
      </c>
      <c r="H133" s="54">
        <f t="shared" si="149"/>
        <v>0</v>
      </c>
      <c r="I133" s="54">
        <f t="shared" si="149"/>
        <v>0</v>
      </c>
      <c r="J133" s="54">
        <f t="shared" si="149"/>
        <v>0</v>
      </c>
      <c r="K133" s="54">
        <f t="shared" si="149"/>
        <v>0</v>
      </c>
      <c r="L133" s="54">
        <f t="shared" ref="L133:AB133" si="150">SUM(L134:L136)</f>
        <v>0</v>
      </c>
      <c r="M133" s="54">
        <f t="shared" si="150"/>
        <v>0</v>
      </c>
      <c r="N133" s="54">
        <f t="shared" si="150"/>
        <v>0</v>
      </c>
      <c r="O133" s="54">
        <f t="shared" si="150"/>
        <v>0</v>
      </c>
      <c r="P133" s="54">
        <f t="shared" si="150"/>
        <v>0</v>
      </c>
      <c r="Q133" s="54">
        <f t="shared" si="150"/>
        <v>0</v>
      </c>
      <c r="R133" s="54">
        <f t="shared" si="150"/>
        <v>0</v>
      </c>
      <c r="S133" s="54">
        <f t="shared" si="150"/>
        <v>0</v>
      </c>
      <c r="T133" s="54">
        <f t="shared" si="150"/>
        <v>0</v>
      </c>
      <c r="U133" s="54">
        <f t="shared" si="150"/>
        <v>0</v>
      </c>
      <c r="V133" s="54">
        <f t="shared" si="150"/>
        <v>0</v>
      </c>
      <c r="W133" s="54">
        <f t="shared" si="150"/>
        <v>0</v>
      </c>
      <c r="X133" s="54">
        <f t="shared" si="150"/>
        <v>0</v>
      </c>
      <c r="Y133" s="54">
        <f t="shared" si="150"/>
        <v>0</v>
      </c>
      <c r="Z133" s="54">
        <f t="shared" si="150"/>
        <v>0</v>
      </c>
      <c r="AA133" s="54">
        <f t="shared" si="150"/>
        <v>0</v>
      </c>
      <c r="AB133" s="54">
        <f t="shared" si="150"/>
        <v>0</v>
      </c>
      <c r="AC133" s="54">
        <f t="shared" ref="AC133" si="151">SUM(AC134:AC136)</f>
        <v>0</v>
      </c>
      <c r="AD133" s="54">
        <v>0</v>
      </c>
      <c r="AE133" s="54">
        <v>0</v>
      </c>
    </row>
    <row r="134" spans="1:31" x14ac:dyDescent="0.35">
      <c r="A134" s="57">
        <v>131</v>
      </c>
      <c r="D134" s="47" t="s">
        <v>21</v>
      </c>
      <c r="E134" s="47" t="s">
        <v>20</v>
      </c>
      <c r="F134" s="55">
        <v>0</v>
      </c>
      <c r="G134" s="55">
        <v>0</v>
      </c>
      <c r="H134" s="55">
        <v>0</v>
      </c>
      <c r="I134" s="55">
        <v>0</v>
      </c>
      <c r="J134" s="55">
        <v>0</v>
      </c>
      <c r="K134" s="55">
        <v>0</v>
      </c>
      <c r="L134" s="55">
        <v>0</v>
      </c>
      <c r="M134" s="55">
        <v>0</v>
      </c>
      <c r="N134" s="55">
        <v>0</v>
      </c>
      <c r="O134" s="55">
        <v>0</v>
      </c>
      <c r="P134" s="55">
        <v>0</v>
      </c>
      <c r="Q134" s="55">
        <v>0</v>
      </c>
      <c r="R134" s="55">
        <v>0</v>
      </c>
      <c r="S134" s="55">
        <v>0</v>
      </c>
      <c r="T134" s="55">
        <v>0</v>
      </c>
      <c r="U134" s="55">
        <v>0</v>
      </c>
      <c r="V134" s="55">
        <v>0</v>
      </c>
      <c r="W134" s="55">
        <v>0</v>
      </c>
      <c r="X134" s="55">
        <v>0</v>
      </c>
      <c r="Y134" s="55">
        <v>0</v>
      </c>
      <c r="Z134" s="55">
        <v>0</v>
      </c>
      <c r="AA134" s="55">
        <v>0</v>
      </c>
      <c r="AB134" s="55">
        <v>0</v>
      </c>
      <c r="AC134" s="55">
        <v>0</v>
      </c>
      <c r="AD134" s="55">
        <v>0</v>
      </c>
      <c r="AE134" s="55">
        <v>0</v>
      </c>
    </row>
    <row r="135" spans="1:31" x14ac:dyDescent="0.35">
      <c r="A135" s="57">
        <v>132</v>
      </c>
      <c r="D135" s="47" t="s">
        <v>12</v>
      </c>
      <c r="E135" s="47" t="s">
        <v>22</v>
      </c>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row>
    <row r="136" spans="1:31" x14ac:dyDescent="0.35">
      <c r="A136" s="57">
        <v>133</v>
      </c>
      <c r="D136" s="47" t="s">
        <v>13</v>
      </c>
      <c r="E136" s="47" t="s">
        <v>23</v>
      </c>
      <c r="F136" s="55">
        <v>0</v>
      </c>
      <c r="G136" s="55">
        <v>0</v>
      </c>
      <c r="H136" s="55">
        <v>0</v>
      </c>
      <c r="I136" s="55">
        <v>0</v>
      </c>
      <c r="J136" s="55">
        <v>0</v>
      </c>
      <c r="K136" s="55">
        <v>0</v>
      </c>
      <c r="L136" s="55">
        <v>0</v>
      </c>
      <c r="M136" s="55">
        <v>0</v>
      </c>
      <c r="N136" s="55">
        <v>0</v>
      </c>
      <c r="O136" s="55">
        <v>0</v>
      </c>
      <c r="P136" s="55">
        <v>0</v>
      </c>
      <c r="Q136" s="55">
        <v>0</v>
      </c>
      <c r="R136" s="55">
        <v>0</v>
      </c>
      <c r="S136" s="55">
        <v>0</v>
      </c>
      <c r="T136" s="55">
        <v>0</v>
      </c>
      <c r="U136" s="55">
        <v>0</v>
      </c>
      <c r="V136" s="55">
        <v>0</v>
      </c>
      <c r="W136" s="55">
        <v>0</v>
      </c>
      <c r="X136" s="55">
        <v>0</v>
      </c>
      <c r="Y136" s="55">
        <v>0</v>
      </c>
      <c r="Z136" s="55">
        <v>0</v>
      </c>
      <c r="AA136" s="55">
        <v>0</v>
      </c>
      <c r="AB136" s="55">
        <v>0</v>
      </c>
      <c r="AC136" s="55">
        <v>0</v>
      </c>
      <c r="AD136" s="55">
        <v>0</v>
      </c>
      <c r="AE136" s="55">
        <v>0</v>
      </c>
    </row>
    <row r="137" spans="1:31" x14ac:dyDescent="0.35">
      <c r="A137" s="57">
        <v>134</v>
      </c>
      <c r="D137" s="46" t="s">
        <v>1</v>
      </c>
      <c r="E137" s="46" t="s">
        <v>24</v>
      </c>
      <c r="F137" s="54">
        <v>0</v>
      </c>
      <c r="G137" s="54">
        <v>0</v>
      </c>
      <c r="H137" s="54">
        <v>0</v>
      </c>
      <c r="I137" s="54">
        <v>0</v>
      </c>
      <c r="J137" s="54">
        <v>0</v>
      </c>
      <c r="K137" s="54">
        <v>0</v>
      </c>
      <c r="L137" s="54">
        <v>0</v>
      </c>
      <c r="M137" s="54">
        <v>0</v>
      </c>
      <c r="N137" s="54">
        <v>0</v>
      </c>
      <c r="O137" s="54">
        <v>0</v>
      </c>
      <c r="P137" s="54">
        <v>0</v>
      </c>
      <c r="Q137" s="54">
        <v>0</v>
      </c>
      <c r="R137" s="54">
        <v>0</v>
      </c>
      <c r="S137" s="54">
        <v>0</v>
      </c>
      <c r="T137" s="54">
        <v>0</v>
      </c>
      <c r="U137" s="54">
        <v>0</v>
      </c>
      <c r="V137" s="54">
        <v>0</v>
      </c>
      <c r="W137" s="54">
        <v>0</v>
      </c>
      <c r="X137" s="54">
        <v>0</v>
      </c>
      <c r="Y137" s="54">
        <v>0</v>
      </c>
      <c r="Z137" s="54">
        <v>0</v>
      </c>
      <c r="AA137" s="54">
        <v>0</v>
      </c>
      <c r="AB137" s="54">
        <v>0</v>
      </c>
      <c r="AC137" s="54">
        <v>0</v>
      </c>
      <c r="AD137" s="54">
        <v>0</v>
      </c>
      <c r="AE137" s="54">
        <v>0</v>
      </c>
    </row>
    <row r="138" spans="1:31" x14ac:dyDescent="0.35">
      <c r="A138" s="57">
        <v>135</v>
      </c>
      <c r="D138" s="46" t="s">
        <v>25</v>
      </c>
      <c r="E138" s="46" t="s">
        <v>26</v>
      </c>
      <c r="F138" s="54">
        <v>0</v>
      </c>
      <c r="G138" s="54">
        <v>0</v>
      </c>
      <c r="H138" s="54">
        <v>0</v>
      </c>
      <c r="I138" s="54">
        <v>0</v>
      </c>
      <c r="J138" s="54">
        <v>0</v>
      </c>
      <c r="K138" s="54">
        <v>0</v>
      </c>
      <c r="L138" s="54">
        <v>0</v>
      </c>
      <c r="M138" s="54">
        <v>0</v>
      </c>
      <c r="N138" s="54">
        <v>0</v>
      </c>
      <c r="O138" s="54">
        <v>0</v>
      </c>
      <c r="P138" s="54">
        <v>0</v>
      </c>
      <c r="Q138" s="54">
        <v>0</v>
      </c>
      <c r="R138" s="54">
        <v>0</v>
      </c>
      <c r="S138" s="54">
        <v>0</v>
      </c>
      <c r="T138" s="54">
        <v>0</v>
      </c>
      <c r="U138" s="54">
        <v>0</v>
      </c>
      <c r="V138" s="54">
        <v>0</v>
      </c>
      <c r="W138" s="54">
        <v>0</v>
      </c>
      <c r="X138" s="54">
        <v>0</v>
      </c>
      <c r="Y138" s="54">
        <v>0</v>
      </c>
      <c r="Z138" s="54">
        <v>0</v>
      </c>
      <c r="AA138" s="54">
        <v>0</v>
      </c>
      <c r="AB138" s="54">
        <v>0</v>
      </c>
      <c r="AC138" s="54">
        <v>0</v>
      </c>
      <c r="AD138" s="54">
        <v>0</v>
      </c>
      <c r="AE138" s="54">
        <v>0</v>
      </c>
    </row>
    <row r="139" spans="1:31" ht="15.5" x14ac:dyDescent="0.35">
      <c r="A139" s="57">
        <v>136</v>
      </c>
      <c r="D139" s="45" t="s">
        <v>15</v>
      </c>
      <c r="E139" s="45" t="s">
        <v>17</v>
      </c>
      <c r="F139" s="52">
        <v>0</v>
      </c>
      <c r="G139" s="52">
        <v>0</v>
      </c>
      <c r="H139" s="52">
        <v>0</v>
      </c>
      <c r="I139" s="52">
        <v>0</v>
      </c>
      <c r="J139" s="52">
        <v>0</v>
      </c>
      <c r="K139" s="52">
        <v>0</v>
      </c>
      <c r="L139" s="52">
        <v>0</v>
      </c>
      <c r="M139" s="52">
        <v>0</v>
      </c>
      <c r="N139" s="52">
        <v>0</v>
      </c>
      <c r="O139" s="52">
        <v>0</v>
      </c>
      <c r="P139" s="52">
        <v>0</v>
      </c>
      <c r="Q139" s="52">
        <v>0</v>
      </c>
      <c r="R139" s="52">
        <v>0</v>
      </c>
      <c r="S139" s="52">
        <v>0</v>
      </c>
      <c r="T139" s="52">
        <v>0</v>
      </c>
      <c r="U139" s="52">
        <v>0</v>
      </c>
      <c r="V139" s="52">
        <v>0</v>
      </c>
      <c r="W139" s="52">
        <v>0</v>
      </c>
      <c r="X139" s="52">
        <v>0</v>
      </c>
      <c r="Y139" s="52">
        <v>0</v>
      </c>
      <c r="Z139" s="52">
        <v>0</v>
      </c>
      <c r="AA139" s="52">
        <v>0</v>
      </c>
      <c r="AB139" s="52">
        <v>0</v>
      </c>
      <c r="AC139" s="52">
        <v>0</v>
      </c>
      <c r="AD139" s="52">
        <v>0</v>
      </c>
      <c r="AE139" s="52">
        <v>0</v>
      </c>
    </row>
    <row r="140" spans="1:31" ht="17.25" customHeight="1" x14ac:dyDescent="0.35">
      <c r="A140" s="57">
        <v>137</v>
      </c>
      <c r="D140" s="49"/>
      <c r="E140" s="49"/>
      <c r="F140" s="51">
        <v>0</v>
      </c>
      <c r="G140" s="51">
        <v>0</v>
      </c>
      <c r="H140" s="51">
        <v>0</v>
      </c>
      <c r="I140" s="51">
        <v>0</v>
      </c>
      <c r="J140" s="51">
        <v>0</v>
      </c>
      <c r="K140" s="51">
        <v>0</v>
      </c>
      <c r="L140" s="51">
        <v>0</v>
      </c>
      <c r="M140" s="51">
        <v>0</v>
      </c>
      <c r="N140" s="51">
        <v>0</v>
      </c>
      <c r="O140" s="51">
        <v>0</v>
      </c>
      <c r="P140" s="51">
        <v>0</v>
      </c>
      <c r="Q140" s="51">
        <v>0</v>
      </c>
      <c r="R140" s="51">
        <v>0</v>
      </c>
      <c r="S140" s="51">
        <v>0</v>
      </c>
      <c r="T140" s="51">
        <v>0</v>
      </c>
      <c r="U140" s="51">
        <v>0</v>
      </c>
      <c r="V140" s="51">
        <v>0</v>
      </c>
      <c r="W140" s="51">
        <v>0</v>
      </c>
      <c r="X140" s="51">
        <v>0</v>
      </c>
      <c r="Y140" s="51">
        <v>0</v>
      </c>
      <c r="Z140" s="51">
        <v>0</v>
      </c>
      <c r="AA140" s="51">
        <v>0</v>
      </c>
      <c r="AB140" s="51">
        <v>0</v>
      </c>
      <c r="AC140" s="51">
        <v>0</v>
      </c>
      <c r="AD140" s="51">
        <v>0</v>
      </c>
      <c r="AE140" s="51">
        <v>0</v>
      </c>
    </row>
    <row r="141" spans="1:31" ht="26.15" customHeight="1" x14ac:dyDescent="0.45">
      <c r="A141" s="57">
        <v>138</v>
      </c>
      <c r="B141" s="42"/>
      <c r="C141" s="44" t="s">
        <v>2</v>
      </c>
      <c r="D141" s="44"/>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row>
    <row r="142" spans="1:31" ht="18" customHeight="1" x14ac:dyDescent="0.35">
      <c r="A142" s="57">
        <v>139</v>
      </c>
      <c r="D142" s="45" t="s">
        <v>9</v>
      </c>
      <c r="E142" s="45" t="s">
        <v>30</v>
      </c>
      <c r="F142" s="52">
        <f t="shared" ref="F142:K142" si="152">F143+F144+F148+F149</f>
        <v>1749.8641578229001</v>
      </c>
      <c r="G142" s="52">
        <f t="shared" si="152"/>
        <v>2014.9908049954997</v>
      </c>
      <c r="H142" s="52">
        <f t="shared" si="152"/>
        <v>2086.3744729999999</v>
      </c>
      <c r="I142" s="52">
        <f t="shared" si="152"/>
        <v>1940.303864</v>
      </c>
      <c r="J142" s="52">
        <f t="shared" si="152"/>
        <v>2320.5231229999999</v>
      </c>
      <c r="K142" s="52">
        <f t="shared" si="152"/>
        <v>2360.508343</v>
      </c>
      <c r="L142" s="52">
        <f t="shared" ref="L142:AB142" si="153">L143+L144+L148+L149</f>
        <v>2049.7111150000001</v>
      </c>
      <c r="M142" s="52">
        <f t="shared" si="153"/>
        <v>2035.842568</v>
      </c>
      <c r="N142" s="52">
        <f t="shared" si="153"/>
        <v>1852.6249720000001</v>
      </c>
      <c r="O142" s="52">
        <f t="shared" si="153"/>
        <v>1888.2163679999999</v>
      </c>
      <c r="P142" s="52">
        <f t="shared" si="153"/>
        <v>2119.5084730000003</v>
      </c>
      <c r="Q142" s="52">
        <f t="shared" si="153"/>
        <v>2306.127821</v>
      </c>
      <c r="R142" s="52">
        <f t="shared" si="153"/>
        <v>2444.1979870000005</v>
      </c>
      <c r="S142" s="52">
        <f t="shared" si="153"/>
        <v>2969.0188239999998</v>
      </c>
      <c r="T142" s="52">
        <f t="shared" si="153"/>
        <v>3179.3227799999995</v>
      </c>
      <c r="U142" s="52">
        <f t="shared" si="153"/>
        <v>3256.2438140000008</v>
      </c>
      <c r="V142" s="52">
        <f t="shared" si="153"/>
        <v>3215.8126179999999</v>
      </c>
      <c r="W142" s="52">
        <f t="shared" si="153"/>
        <v>3115.6021009999999</v>
      </c>
      <c r="X142" s="52">
        <f t="shared" si="153"/>
        <v>3542.2949967700001</v>
      </c>
      <c r="Y142" s="52">
        <f t="shared" si="153"/>
        <v>3413.3689035599996</v>
      </c>
      <c r="Z142" s="52">
        <f t="shared" si="153"/>
        <v>3581.2809027399999</v>
      </c>
      <c r="AA142" s="52">
        <f t="shared" si="153"/>
        <v>3391.0828848299998</v>
      </c>
      <c r="AB142" s="52">
        <f t="shared" si="153"/>
        <v>3630.9410667100001</v>
      </c>
      <c r="AC142" s="52">
        <f t="shared" ref="AC142" si="154">AC143+AC144+AC148+AC149</f>
        <v>3937.5771057299999</v>
      </c>
      <c r="AD142" s="52">
        <v>4300.1262057800004</v>
      </c>
      <c r="AE142" s="52">
        <v>4404.9526222300001</v>
      </c>
    </row>
    <row r="143" spans="1:31" x14ac:dyDescent="0.35">
      <c r="A143" s="57">
        <v>140</v>
      </c>
      <c r="D143" s="46" t="s">
        <v>10</v>
      </c>
      <c r="E143" s="46" t="s">
        <v>18</v>
      </c>
      <c r="F143" s="54">
        <v>73.285595000000001</v>
      </c>
      <c r="G143" s="54">
        <v>142.235885</v>
      </c>
      <c r="H143" s="54">
        <v>404.98867000000001</v>
      </c>
      <c r="I143" s="54">
        <v>318.52252399999998</v>
      </c>
      <c r="J143" s="54">
        <v>449.18217800000002</v>
      </c>
      <c r="K143" s="54">
        <v>515.12270899999999</v>
      </c>
      <c r="L143" s="54">
        <v>439.41630200000003</v>
      </c>
      <c r="M143" s="54">
        <v>352.56249600000001</v>
      </c>
      <c r="N143" s="54">
        <v>291.26992899999999</v>
      </c>
      <c r="O143" s="54">
        <v>283.28971999999999</v>
      </c>
      <c r="P143" s="54">
        <v>284.09835599999997</v>
      </c>
      <c r="Q143" s="54">
        <v>318.56588699999998</v>
      </c>
      <c r="R143" s="54">
        <v>274.76146900000003</v>
      </c>
      <c r="S143" s="54">
        <v>348.130112</v>
      </c>
      <c r="T143" s="54">
        <v>440.00717700000007</v>
      </c>
      <c r="U143" s="54">
        <v>453.72902899999997</v>
      </c>
      <c r="V143" s="54">
        <v>407.18933800000002</v>
      </c>
      <c r="W143" s="54">
        <v>145.73000200000001</v>
      </c>
      <c r="X143" s="54">
        <v>530.64801999999997</v>
      </c>
      <c r="Y143" s="54">
        <v>500.85961900000001</v>
      </c>
      <c r="Z143" s="54">
        <v>509.700964</v>
      </c>
      <c r="AA143" s="54">
        <v>527.77523599999995</v>
      </c>
      <c r="AB143" s="54">
        <v>550.47578500000009</v>
      </c>
      <c r="AC143" s="54">
        <v>550.30803200000003</v>
      </c>
      <c r="AD143" s="54">
        <v>517.364689</v>
      </c>
      <c r="AE143" s="54">
        <v>524.42642799999999</v>
      </c>
    </row>
    <row r="144" spans="1:31" x14ac:dyDescent="0.35">
      <c r="A144" s="57">
        <v>141</v>
      </c>
      <c r="D144" s="46" t="s">
        <v>11</v>
      </c>
      <c r="E144" s="46" t="s">
        <v>0</v>
      </c>
      <c r="F144" s="54">
        <f t="shared" ref="F144:K144" si="155">SUM(F145:F147)</f>
        <v>1523.5466008229</v>
      </c>
      <c r="G144" s="54">
        <f t="shared" si="155"/>
        <v>1479.5095209954998</v>
      </c>
      <c r="H144" s="54">
        <f t="shared" si="155"/>
        <v>1293.888191</v>
      </c>
      <c r="I144" s="54">
        <f t="shared" si="155"/>
        <v>1350.077196</v>
      </c>
      <c r="J144" s="54">
        <f t="shared" si="155"/>
        <v>1523.316098</v>
      </c>
      <c r="K144" s="54">
        <f t="shared" si="155"/>
        <v>1486.913102</v>
      </c>
      <c r="L144" s="54">
        <f t="shared" ref="L144:AB144" si="156">SUM(L145:L147)</f>
        <v>1272.7013569999999</v>
      </c>
      <c r="M144" s="54">
        <f t="shared" si="156"/>
        <v>1214.1287749999999</v>
      </c>
      <c r="N144" s="54">
        <f t="shared" si="156"/>
        <v>1250.5769170000001</v>
      </c>
      <c r="O144" s="54">
        <f t="shared" si="156"/>
        <v>1234.6704949999998</v>
      </c>
      <c r="P144" s="54">
        <f t="shared" si="156"/>
        <v>1492.1011340000002</v>
      </c>
      <c r="Q144" s="54">
        <f t="shared" si="156"/>
        <v>1633.0479559999999</v>
      </c>
      <c r="R144" s="54">
        <f t="shared" si="156"/>
        <v>1791.3074260000001</v>
      </c>
      <c r="S144" s="54">
        <f t="shared" si="156"/>
        <v>2249.050984</v>
      </c>
      <c r="T144" s="54">
        <f t="shared" si="156"/>
        <v>2384.7557679999995</v>
      </c>
      <c r="U144" s="54">
        <f t="shared" si="156"/>
        <v>2451.3515940000007</v>
      </c>
      <c r="V144" s="54">
        <f t="shared" si="156"/>
        <v>2465.890723</v>
      </c>
      <c r="W144" s="54">
        <f t="shared" si="156"/>
        <v>2602.8633770000001</v>
      </c>
      <c r="X144" s="54">
        <f t="shared" si="156"/>
        <v>2677.1486837699999</v>
      </c>
      <c r="Y144" s="54">
        <f t="shared" si="156"/>
        <v>2603.9500275599999</v>
      </c>
      <c r="Z144" s="54">
        <f t="shared" si="156"/>
        <v>2750.7138007399999</v>
      </c>
      <c r="AA144" s="54">
        <f t="shared" si="156"/>
        <v>2562.0216098299998</v>
      </c>
      <c r="AB144" s="54">
        <f t="shared" si="156"/>
        <v>2779.12728771</v>
      </c>
      <c r="AC144" s="54">
        <f t="shared" ref="AC144" si="157">SUM(AC145:AC147)</f>
        <v>3091.0800537300001</v>
      </c>
      <c r="AD144" s="54">
        <v>3474.6383507800001</v>
      </c>
      <c r="AE144" s="54">
        <v>3573.6792332300001</v>
      </c>
    </row>
    <row r="145" spans="1:31" x14ac:dyDescent="0.35">
      <c r="A145" s="57">
        <v>142</v>
      </c>
      <c r="D145" s="47" t="s">
        <v>21</v>
      </c>
      <c r="E145" s="47" t="s">
        <v>20</v>
      </c>
      <c r="F145" s="55">
        <v>1523.5466008229</v>
      </c>
      <c r="G145" s="55">
        <v>1479.5095209954998</v>
      </c>
      <c r="H145" s="55">
        <v>1293.888191</v>
      </c>
      <c r="I145" s="55">
        <v>1350.077196</v>
      </c>
      <c r="J145" s="55">
        <v>1523.316098</v>
      </c>
      <c r="K145" s="55">
        <v>1486.913102</v>
      </c>
      <c r="L145" s="55">
        <v>1272.7013569999999</v>
      </c>
      <c r="M145" s="55">
        <v>1214.1287749999999</v>
      </c>
      <c r="N145" s="55">
        <v>1250.5769170000001</v>
      </c>
      <c r="O145" s="55">
        <v>1234.6704949999998</v>
      </c>
      <c r="P145" s="55">
        <v>1492.1011340000002</v>
      </c>
      <c r="Q145" s="55">
        <v>1633.0479559999999</v>
      </c>
      <c r="R145" s="55">
        <v>1791.3074260000001</v>
      </c>
      <c r="S145" s="55">
        <v>2249.050984</v>
      </c>
      <c r="T145" s="55">
        <v>2384.7557679999995</v>
      </c>
      <c r="U145" s="55">
        <v>2451.3515940000007</v>
      </c>
      <c r="V145" s="55">
        <v>2465.890723</v>
      </c>
      <c r="W145" s="55">
        <v>2602.8633770000001</v>
      </c>
      <c r="X145" s="55">
        <v>2677.1486837699999</v>
      </c>
      <c r="Y145" s="55">
        <v>2603.9500275599999</v>
      </c>
      <c r="Z145" s="55">
        <v>2750.7138007399999</v>
      </c>
      <c r="AA145" s="55">
        <v>2562.0216098299998</v>
      </c>
      <c r="AB145" s="55">
        <v>2779.12728771</v>
      </c>
      <c r="AC145" s="55">
        <v>3091.0800537300001</v>
      </c>
      <c r="AD145" s="55">
        <v>3474.6383507800001</v>
      </c>
      <c r="AE145" s="55">
        <v>3573.6792332300001</v>
      </c>
    </row>
    <row r="146" spans="1:31" x14ac:dyDescent="0.35">
      <c r="A146" s="57">
        <v>143</v>
      </c>
      <c r="D146" s="47" t="s">
        <v>12</v>
      </c>
      <c r="E146" s="47" t="s">
        <v>22</v>
      </c>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row>
    <row r="147" spans="1:31" x14ac:dyDescent="0.35">
      <c r="A147" s="57">
        <v>144</v>
      </c>
      <c r="D147" s="47" t="s">
        <v>13</v>
      </c>
      <c r="E147" s="47" t="s">
        <v>23</v>
      </c>
      <c r="F147" s="55">
        <v>0</v>
      </c>
      <c r="G147" s="55">
        <v>0</v>
      </c>
      <c r="H147" s="55">
        <v>0</v>
      </c>
      <c r="I147" s="55">
        <v>0</v>
      </c>
      <c r="J147" s="55">
        <v>0</v>
      </c>
      <c r="K147" s="55">
        <v>0</v>
      </c>
      <c r="L147" s="55">
        <v>0</v>
      </c>
      <c r="M147" s="55">
        <v>0</v>
      </c>
      <c r="N147" s="55">
        <v>0</v>
      </c>
      <c r="O147" s="55">
        <v>0</v>
      </c>
      <c r="P147" s="55">
        <v>0</v>
      </c>
      <c r="Q147" s="55">
        <v>0</v>
      </c>
      <c r="R147" s="55">
        <v>0</v>
      </c>
      <c r="S147" s="55">
        <v>0</v>
      </c>
      <c r="T147" s="55">
        <v>0</v>
      </c>
      <c r="U147" s="55">
        <v>0</v>
      </c>
      <c r="V147" s="55">
        <v>0</v>
      </c>
      <c r="W147" s="55">
        <v>0</v>
      </c>
      <c r="X147" s="55">
        <v>0</v>
      </c>
      <c r="Y147" s="55">
        <v>0</v>
      </c>
      <c r="Z147" s="55">
        <v>0</v>
      </c>
      <c r="AA147" s="55">
        <v>0</v>
      </c>
      <c r="AB147" s="55">
        <v>0</v>
      </c>
      <c r="AC147" s="55">
        <v>0</v>
      </c>
      <c r="AD147" s="55">
        <v>0</v>
      </c>
      <c r="AE147" s="55">
        <v>0</v>
      </c>
    </row>
    <row r="148" spans="1:31" x14ac:dyDescent="0.35">
      <c r="A148" s="57">
        <v>145</v>
      </c>
      <c r="D148" s="46" t="s">
        <v>1</v>
      </c>
      <c r="E148" s="46" t="s">
        <v>24</v>
      </c>
      <c r="F148" s="54">
        <v>0</v>
      </c>
      <c r="G148" s="54">
        <v>0</v>
      </c>
      <c r="H148" s="54">
        <v>0</v>
      </c>
      <c r="I148" s="54">
        <v>0</v>
      </c>
      <c r="J148" s="54">
        <v>0</v>
      </c>
      <c r="K148" s="54">
        <v>0</v>
      </c>
      <c r="L148" s="54">
        <v>0</v>
      </c>
      <c r="M148" s="54">
        <v>0</v>
      </c>
      <c r="N148" s="54">
        <v>0</v>
      </c>
      <c r="O148" s="54">
        <v>0</v>
      </c>
      <c r="P148" s="54">
        <v>0</v>
      </c>
      <c r="Q148" s="54">
        <v>0</v>
      </c>
      <c r="R148" s="54">
        <v>0</v>
      </c>
      <c r="S148" s="54">
        <v>0</v>
      </c>
      <c r="T148" s="54">
        <v>0</v>
      </c>
      <c r="U148" s="54">
        <v>0</v>
      </c>
      <c r="V148" s="54">
        <v>0</v>
      </c>
      <c r="W148" s="54">
        <v>0</v>
      </c>
      <c r="X148" s="54">
        <v>3.5</v>
      </c>
      <c r="Y148" s="54">
        <v>0</v>
      </c>
      <c r="Z148" s="54">
        <v>4.0930999999999997</v>
      </c>
      <c r="AA148" s="54">
        <v>0</v>
      </c>
      <c r="AB148" s="54">
        <v>0</v>
      </c>
      <c r="AC148" s="54">
        <v>0</v>
      </c>
      <c r="AD148" s="54">
        <v>0</v>
      </c>
      <c r="AE148" s="54">
        <v>0</v>
      </c>
    </row>
    <row r="149" spans="1:31" x14ac:dyDescent="0.35">
      <c r="A149" s="57">
        <v>146</v>
      </c>
      <c r="D149" s="46" t="s">
        <v>25</v>
      </c>
      <c r="E149" s="46" t="s">
        <v>26</v>
      </c>
      <c r="F149" s="54">
        <v>153.03196200000002</v>
      </c>
      <c r="G149" s="54">
        <v>393.24539900000002</v>
      </c>
      <c r="H149" s="54">
        <v>387.497612</v>
      </c>
      <c r="I149" s="54">
        <v>271.70414399999999</v>
      </c>
      <c r="J149" s="54">
        <v>348.02484700000002</v>
      </c>
      <c r="K149" s="54">
        <v>358.472532</v>
      </c>
      <c r="L149" s="54">
        <v>337.593456</v>
      </c>
      <c r="M149" s="54">
        <v>469.151297</v>
      </c>
      <c r="N149" s="54">
        <v>310.77812599999999</v>
      </c>
      <c r="O149" s="54">
        <v>370.25615299999998</v>
      </c>
      <c r="P149" s="54">
        <v>343.30898300000001</v>
      </c>
      <c r="Q149" s="54">
        <v>354.51397800000001</v>
      </c>
      <c r="R149" s="54">
        <v>378.12909200000001</v>
      </c>
      <c r="S149" s="54">
        <v>371.83772800000003</v>
      </c>
      <c r="T149" s="54">
        <v>354.55983500000002</v>
      </c>
      <c r="U149" s="54">
        <v>351.16319100000004</v>
      </c>
      <c r="V149" s="54">
        <v>342.73255699999999</v>
      </c>
      <c r="W149" s="54">
        <v>367.00872199999998</v>
      </c>
      <c r="X149" s="54">
        <v>330.99829299999999</v>
      </c>
      <c r="Y149" s="54">
        <v>308.559257</v>
      </c>
      <c r="Z149" s="54">
        <v>316.77303799999999</v>
      </c>
      <c r="AA149" s="54">
        <v>301.28603900000002</v>
      </c>
      <c r="AB149" s="54">
        <v>301.33799399999998</v>
      </c>
      <c r="AC149" s="54">
        <v>296.18902000000003</v>
      </c>
      <c r="AD149" s="54">
        <v>308.12316600000003</v>
      </c>
      <c r="AE149" s="54">
        <v>306.84696100000002</v>
      </c>
    </row>
    <row r="150" spans="1:31" ht="15.5" x14ac:dyDescent="0.35">
      <c r="A150" s="57">
        <v>147</v>
      </c>
      <c r="D150" s="45" t="s">
        <v>15</v>
      </c>
      <c r="E150" s="45" t="s">
        <v>17</v>
      </c>
      <c r="F150" s="52">
        <v>1118.6089919999999</v>
      </c>
      <c r="G150" s="52">
        <v>1474.9499659999999</v>
      </c>
      <c r="H150" s="52">
        <v>1553.556881</v>
      </c>
      <c r="I150" s="52">
        <v>2778.371756</v>
      </c>
      <c r="J150" s="52">
        <v>3831.9627</v>
      </c>
      <c r="K150" s="52">
        <v>4248.226455</v>
      </c>
      <c r="L150" s="52">
        <v>3902.5918799999999</v>
      </c>
      <c r="M150" s="52">
        <v>3780.866548</v>
      </c>
      <c r="N150" s="52">
        <v>4031.6576759999998</v>
      </c>
      <c r="O150" s="52">
        <v>3988.490773</v>
      </c>
      <c r="P150" s="52">
        <v>4205.3583230000004</v>
      </c>
      <c r="Q150" s="52">
        <v>4191.5873389999997</v>
      </c>
      <c r="R150" s="52">
        <v>4487.7147649999997</v>
      </c>
      <c r="S150" s="52">
        <v>4369.867859</v>
      </c>
      <c r="T150" s="52">
        <v>4739.3553360000005</v>
      </c>
      <c r="U150" s="52">
        <v>4703.3397450000002</v>
      </c>
      <c r="V150" s="52">
        <v>5135.2796550000003</v>
      </c>
      <c r="W150" s="52">
        <v>4918.5016599999999</v>
      </c>
      <c r="X150" s="52">
        <v>5070.2547271499989</v>
      </c>
      <c r="Y150" s="52">
        <v>4977.8579110000001</v>
      </c>
      <c r="Z150" s="52">
        <v>4888.1634270000004</v>
      </c>
      <c r="AA150" s="52">
        <v>5042.1644020000003</v>
      </c>
      <c r="AB150" s="52">
        <v>5087.8309380000001</v>
      </c>
      <c r="AC150" s="52">
        <v>5080.6354249999995</v>
      </c>
      <c r="AD150" s="52">
        <v>5166.2696390000001</v>
      </c>
      <c r="AE150" s="52">
        <v>5299.2924640000001</v>
      </c>
    </row>
    <row r="151" spans="1:31" ht="9" customHeight="1" x14ac:dyDescent="0.35">
      <c r="A151" s="57">
        <v>148</v>
      </c>
      <c r="D151" s="49"/>
      <c r="E151" s="49"/>
      <c r="F151" s="51">
        <v>0</v>
      </c>
      <c r="G151" s="51">
        <v>0</v>
      </c>
      <c r="H151" s="51">
        <v>0</v>
      </c>
      <c r="I151" s="51">
        <v>0</v>
      </c>
      <c r="J151" s="51">
        <v>0</v>
      </c>
      <c r="K151" s="51">
        <v>0</v>
      </c>
      <c r="L151" s="51">
        <v>0</v>
      </c>
      <c r="M151" s="51">
        <v>0</v>
      </c>
      <c r="N151" s="51">
        <v>0</v>
      </c>
      <c r="O151" s="51">
        <v>0</v>
      </c>
      <c r="P151" s="51">
        <v>0</v>
      </c>
      <c r="Q151" s="51">
        <v>0</v>
      </c>
      <c r="R151" s="51">
        <v>0</v>
      </c>
      <c r="S151" s="51">
        <v>0</v>
      </c>
      <c r="T151" s="51">
        <v>0</v>
      </c>
      <c r="U151" s="51">
        <v>0</v>
      </c>
      <c r="V151" s="51">
        <v>0</v>
      </c>
      <c r="W151" s="51">
        <v>0</v>
      </c>
      <c r="X151" s="51">
        <v>0</v>
      </c>
      <c r="Y151" s="51">
        <v>0</v>
      </c>
      <c r="Z151" s="51">
        <v>0</v>
      </c>
      <c r="AA151" s="51">
        <v>0</v>
      </c>
      <c r="AB151" s="51">
        <v>0</v>
      </c>
      <c r="AC151" s="51">
        <v>0</v>
      </c>
      <c r="AD151" s="51">
        <v>0</v>
      </c>
      <c r="AE151" s="51">
        <v>0</v>
      </c>
    </row>
    <row r="152" spans="1:31" ht="26.15" customHeight="1" x14ac:dyDescent="0.45">
      <c r="A152" s="57">
        <v>149</v>
      </c>
      <c r="B152" s="42"/>
      <c r="C152" s="44" t="s">
        <v>19</v>
      </c>
      <c r="D152" s="44"/>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row>
    <row r="153" spans="1:31" ht="18" customHeight="1" x14ac:dyDescent="0.35">
      <c r="A153" s="57">
        <v>150</v>
      </c>
      <c r="D153" s="45" t="s">
        <v>9</v>
      </c>
      <c r="E153" s="45" t="s">
        <v>30</v>
      </c>
      <c r="F153" s="52">
        <f t="shared" ref="F153:K153" si="158">F154+F155+F159+F160</f>
        <v>38.583232585097349</v>
      </c>
      <c r="G153" s="52">
        <f t="shared" si="158"/>
        <v>84.772333812588542</v>
      </c>
      <c r="H153" s="52">
        <f t="shared" si="158"/>
        <v>193.52516825129428</v>
      </c>
      <c r="I153" s="52">
        <f t="shared" si="158"/>
        <v>867.99405498624787</v>
      </c>
      <c r="J153" s="52">
        <f t="shared" si="158"/>
        <v>1242.3521773408349</v>
      </c>
      <c r="K153" s="52">
        <f t="shared" si="158"/>
        <v>1483.5082862257268</v>
      </c>
      <c r="L153" s="52">
        <f t="shared" ref="L153:AB153" si="159">L154+L155+L159+L160</f>
        <v>1763.8651027905898</v>
      </c>
      <c r="M153" s="52">
        <f t="shared" si="159"/>
        <v>1975.5650721595312</v>
      </c>
      <c r="N153" s="52">
        <f t="shared" si="159"/>
        <v>2182.507004507459</v>
      </c>
      <c r="O153" s="52">
        <f t="shared" si="159"/>
        <v>2208.8530369844043</v>
      </c>
      <c r="P153" s="52">
        <f t="shared" si="159"/>
        <v>2426.0109362942126</v>
      </c>
      <c r="Q153" s="52">
        <f t="shared" si="159"/>
        <v>2582.6430336081203</v>
      </c>
      <c r="R153" s="52">
        <f t="shared" si="159"/>
        <v>2516.0085732339448</v>
      </c>
      <c r="S153" s="52">
        <f t="shared" si="159"/>
        <v>2500.5349586133439</v>
      </c>
      <c r="T153" s="52">
        <f t="shared" si="159"/>
        <v>2567.0393702697024</v>
      </c>
      <c r="U153" s="52">
        <f t="shared" si="159"/>
        <v>2820.0098199953809</v>
      </c>
      <c r="V153" s="52">
        <f t="shared" si="159"/>
        <v>2966.0641924734168</v>
      </c>
      <c r="W153" s="52">
        <f t="shared" si="159"/>
        <v>2956.2786338344772</v>
      </c>
      <c r="X153" s="52">
        <f t="shared" si="159"/>
        <v>3121.1493361157691</v>
      </c>
      <c r="Y153" s="52">
        <f t="shared" si="159"/>
        <v>3182.0472581113982</v>
      </c>
      <c r="Z153" s="52">
        <f t="shared" si="159"/>
        <v>3500.9655121039646</v>
      </c>
      <c r="AA153" s="52">
        <f t="shared" si="159"/>
        <v>3812.9907497960044</v>
      </c>
      <c r="AB153" s="52">
        <f t="shared" si="159"/>
        <v>3652.0035258570897</v>
      </c>
      <c r="AC153" s="52">
        <f t="shared" ref="AC153" si="160">AC154+AC155+AC159+AC160</f>
        <v>3671.0772470248294</v>
      </c>
      <c r="AD153" s="52">
        <v>3659.2236471339438</v>
      </c>
      <c r="AE153" s="52">
        <v>3805.1234204429961</v>
      </c>
    </row>
    <row r="154" spans="1:31" x14ac:dyDescent="0.35">
      <c r="A154" s="57">
        <v>151</v>
      </c>
      <c r="D154" s="46" t="s">
        <v>10</v>
      </c>
      <c r="E154" s="46" t="s">
        <v>18</v>
      </c>
      <c r="F154" s="55">
        <v>0</v>
      </c>
      <c r="G154" s="55">
        <v>0</v>
      </c>
      <c r="H154" s="55">
        <v>0</v>
      </c>
      <c r="I154" s="55">
        <v>130.61320035068283</v>
      </c>
      <c r="J154" s="55">
        <v>230.68979825422721</v>
      </c>
      <c r="K154" s="55">
        <v>275.69674212964736</v>
      </c>
      <c r="L154" s="55">
        <v>331.97897326149882</v>
      </c>
      <c r="M154" s="55">
        <v>374.35771250220569</v>
      </c>
      <c r="N154" s="55">
        <v>412.15972745082536</v>
      </c>
      <c r="O154" s="55">
        <v>418.16142736080474</v>
      </c>
      <c r="P154" s="55">
        <v>458.69309516709905</v>
      </c>
      <c r="Q154" s="55">
        <v>489.07030176290601</v>
      </c>
      <c r="R154" s="55">
        <v>496.27524364678897</v>
      </c>
      <c r="S154" s="55">
        <v>493.18052072266875</v>
      </c>
      <c r="T154" s="55">
        <v>506.43702565394051</v>
      </c>
      <c r="U154" s="55">
        <v>557.25279239907616</v>
      </c>
      <c r="V154" s="55">
        <v>585.70203829468335</v>
      </c>
      <c r="W154" s="55">
        <v>584.49239816689544</v>
      </c>
      <c r="X154" s="55">
        <v>617.44421022315385</v>
      </c>
      <c r="Y154" s="55">
        <v>629.62379462227966</v>
      </c>
      <c r="Z154" s="55">
        <v>693.36692342079289</v>
      </c>
      <c r="AA154" s="55">
        <v>755.77197095920087</v>
      </c>
      <c r="AB154" s="55">
        <v>723.55676597141792</v>
      </c>
      <c r="AC154" s="55">
        <v>727.05776600496586</v>
      </c>
      <c r="AD154" s="55">
        <v>724.59496762678873</v>
      </c>
      <c r="AE154" s="55">
        <v>754.18247168859921</v>
      </c>
    </row>
    <row r="155" spans="1:31" x14ac:dyDescent="0.35">
      <c r="A155" s="57">
        <v>152</v>
      </c>
      <c r="D155" s="46" t="s">
        <v>11</v>
      </c>
      <c r="E155" s="46" t="s">
        <v>0</v>
      </c>
      <c r="F155" s="54">
        <f t="shared" ref="F155:K155" si="161">SUM(F156:F158)</f>
        <v>38.583232585097349</v>
      </c>
      <c r="G155" s="54">
        <f t="shared" si="161"/>
        <v>84.772333812588542</v>
      </c>
      <c r="H155" s="54">
        <f t="shared" si="161"/>
        <v>193.52516825129428</v>
      </c>
      <c r="I155" s="54">
        <f t="shared" si="161"/>
        <v>214.92805323283375</v>
      </c>
      <c r="J155" s="54">
        <f t="shared" si="161"/>
        <v>88.903186069698847</v>
      </c>
      <c r="K155" s="54">
        <f t="shared" si="161"/>
        <v>105.02457557749005</v>
      </c>
      <c r="L155" s="54">
        <f t="shared" ref="L155:AB155" si="162">SUM(L156:L158)</f>
        <v>103.9702364830956</v>
      </c>
      <c r="M155" s="54">
        <f t="shared" si="162"/>
        <v>103.77650964850282</v>
      </c>
      <c r="N155" s="54">
        <f t="shared" si="162"/>
        <v>121.70836725333206</v>
      </c>
      <c r="O155" s="54">
        <f t="shared" si="162"/>
        <v>118.04590018038047</v>
      </c>
      <c r="P155" s="54">
        <f t="shared" si="162"/>
        <v>132.54546045871746</v>
      </c>
      <c r="Q155" s="54">
        <f t="shared" si="162"/>
        <v>137.29152479359007</v>
      </c>
      <c r="R155" s="54">
        <f t="shared" si="162"/>
        <v>34.632355000000004</v>
      </c>
      <c r="S155" s="54">
        <f t="shared" si="162"/>
        <v>34.632355000000004</v>
      </c>
      <c r="T155" s="54">
        <f t="shared" si="162"/>
        <v>34.854241999999999</v>
      </c>
      <c r="U155" s="54">
        <f t="shared" si="162"/>
        <v>33.745857999999998</v>
      </c>
      <c r="V155" s="54">
        <f t="shared" si="162"/>
        <v>37.554001</v>
      </c>
      <c r="W155" s="54">
        <f t="shared" si="162"/>
        <v>33.816642999999999</v>
      </c>
      <c r="X155" s="54">
        <f t="shared" si="162"/>
        <v>33.928285000000002</v>
      </c>
      <c r="Y155" s="54">
        <f t="shared" si="162"/>
        <v>33.928285000000002</v>
      </c>
      <c r="Z155" s="54">
        <f t="shared" si="162"/>
        <v>34.130895000000002</v>
      </c>
      <c r="AA155" s="54">
        <f t="shared" si="162"/>
        <v>34.130895000000002</v>
      </c>
      <c r="AB155" s="54">
        <f t="shared" si="162"/>
        <v>34.219695999999999</v>
      </c>
      <c r="AC155" s="54">
        <f t="shared" ref="AC155" si="163">SUM(AC156:AC158)</f>
        <v>35.788417000000003</v>
      </c>
      <c r="AD155" s="54">
        <v>36.248809000000001</v>
      </c>
      <c r="AE155" s="54">
        <v>34.211061999999998</v>
      </c>
    </row>
    <row r="156" spans="1:31" x14ac:dyDescent="0.35">
      <c r="A156" s="57">
        <v>153</v>
      </c>
      <c r="D156" s="47" t="s">
        <v>21</v>
      </c>
      <c r="E156" s="47" t="s">
        <v>20</v>
      </c>
      <c r="F156" s="55">
        <v>38.583232585097349</v>
      </c>
      <c r="G156" s="55">
        <v>84.772333812588542</v>
      </c>
      <c r="H156" s="55">
        <v>193.52516825129428</v>
      </c>
      <c r="I156" s="55">
        <v>214.92805323283375</v>
      </c>
      <c r="J156" s="55">
        <v>88.903186069698847</v>
      </c>
      <c r="K156" s="55">
        <v>105.02457557749005</v>
      </c>
      <c r="L156" s="55">
        <v>103.9702364830956</v>
      </c>
      <c r="M156" s="55">
        <v>103.77650964850282</v>
      </c>
      <c r="N156" s="55">
        <v>121.70836725333206</v>
      </c>
      <c r="O156" s="55">
        <v>118.04590018038047</v>
      </c>
      <c r="P156" s="55">
        <v>132.54546045871746</v>
      </c>
      <c r="Q156" s="55">
        <v>137.29152479359007</v>
      </c>
      <c r="R156" s="55">
        <v>34.632355000000004</v>
      </c>
      <c r="S156" s="55">
        <v>34.632355000000004</v>
      </c>
      <c r="T156" s="55">
        <v>34.854241999999999</v>
      </c>
      <c r="U156" s="55">
        <v>33.745857999999998</v>
      </c>
      <c r="V156" s="55">
        <v>37.554001</v>
      </c>
      <c r="W156" s="55">
        <v>33.816642999999999</v>
      </c>
      <c r="X156" s="55">
        <v>33.928285000000002</v>
      </c>
      <c r="Y156" s="55">
        <v>33.928285000000002</v>
      </c>
      <c r="Z156" s="55">
        <v>34.130895000000002</v>
      </c>
      <c r="AA156" s="55">
        <v>34.130895000000002</v>
      </c>
      <c r="AB156" s="55">
        <v>34.219695999999999</v>
      </c>
      <c r="AC156" s="55">
        <v>35.788417000000003</v>
      </c>
      <c r="AD156" s="55">
        <v>36.248809000000001</v>
      </c>
      <c r="AE156" s="55">
        <v>34.211061999999998</v>
      </c>
    </row>
    <row r="157" spans="1:31" x14ac:dyDescent="0.35">
      <c r="A157" s="57">
        <v>154</v>
      </c>
      <c r="D157" s="47" t="s">
        <v>12</v>
      </c>
      <c r="E157" s="47" t="s">
        <v>22</v>
      </c>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row>
    <row r="158" spans="1:31" x14ac:dyDescent="0.35">
      <c r="A158" s="57">
        <v>155</v>
      </c>
      <c r="D158" s="47" t="s">
        <v>13</v>
      </c>
      <c r="E158" s="47" t="s">
        <v>23</v>
      </c>
      <c r="F158" s="55">
        <v>0</v>
      </c>
      <c r="G158" s="55">
        <v>0</v>
      </c>
      <c r="H158" s="55">
        <v>0</v>
      </c>
      <c r="I158" s="55">
        <v>0</v>
      </c>
      <c r="J158" s="55">
        <v>0</v>
      </c>
      <c r="K158" s="55">
        <v>0</v>
      </c>
      <c r="L158" s="55">
        <v>0</v>
      </c>
      <c r="M158" s="55">
        <v>0</v>
      </c>
      <c r="N158" s="55">
        <v>0</v>
      </c>
      <c r="O158" s="55">
        <v>0</v>
      </c>
      <c r="P158" s="55">
        <v>0</v>
      </c>
      <c r="Q158" s="55">
        <v>0</v>
      </c>
      <c r="R158" s="55">
        <v>0</v>
      </c>
      <c r="S158" s="55">
        <v>0</v>
      </c>
      <c r="T158" s="55">
        <v>0</v>
      </c>
      <c r="U158" s="55">
        <v>0</v>
      </c>
      <c r="V158" s="55">
        <v>0</v>
      </c>
      <c r="W158" s="55">
        <v>0</v>
      </c>
      <c r="X158" s="55">
        <v>0</v>
      </c>
      <c r="Y158" s="55">
        <v>0</v>
      </c>
      <c r="Z158" s="55">
        <v>0</v>
      </c>
      <c r="AA158" s="55">
        <v>0</v>
      </c>
      <c r="AB158" s="55">
        <v>0</v>
      </c>
      <c r="AC158" s="55">
        <v>0</v>
      </c>
      <c r="AD158" s="55">
        <v>0</v>
      </c>
      <c r="AE158" s="55">
        <v>0</v>
      </c>
    </row>
    <row r="159" spans="1:31" x14ac:dyDescent="0.35">
      <c r="A159" s="57">
        <v>156</v>
      </c>
      <c r="D159" s="46" t="s">
        <v>1</v>
      </c>
      <c r="E159" s="46" t="s">
        <v>24</v>
      </c>
      <c r="F159" s="54">
        <v>0</v>
      </c>
      <c r="G159" s="54">
        <v>0</v>
      </c>
      <c r="H159" s="54">
        <v>0</v>
      </c>
      <c r="I159" s="54">
        <v>0</v>
      </c>
      <c r="J159" s="54">
        <v>0</v>
      </c>
      <c r="K159" s="54">
        <v>0</v>
      </c>
      <c r="L159" s="54">
        <v>0</v>
      </c>
      <c r="M159" s="54">
        <v>0</v>
      </c>
      <c r="N159" s="54">
        <v>0</v>
      </c>
      <c r="O159" s="54">
        <v>0</v>
      </c>
      <c r="P159" s="54">
        <v>0</v>
      </c>
      <c r="Q159" s="54">
        <v>0</v>
      </c>
      <c r="R159" s="54">
        <v>0</v>
      </c>
      <c r="S159" s="54">
        <v>0</v>
      </c>
      <c r="T159" s="54">
        <v>0</v>
      </c>
      <c r="U159" s="54">
        <v>0</v>
      </c>
      <c r="V159" s="54">
        <v>0</v>
      </c>
      <c r="W159" s="54">
        <v>0</v>
      </c>
      <c r="X159" s="54">
        <v>0</v>
      </c>
      <c r="Y159" s="54">
        <v>0</v>
      </c>
      <c r="Z159" s="54">
        <v>0</v>
      </c>
      <c r="AA159" s="54">
        <v>0</v>
      </c>
      <c r="AB159" s="54">
        <v>0</v>
      </c>
      <c r="AC159" s="54">
        <v>0</v>
      </c>
      <c r="AD159" s="54">
        <v>0</v>
      </c>
      <c r="AE159" s="54">
        <v>0</v>
      </c>
    </row>
    <row r="160" spans="1:31" x14ac:dyDescent="0.35">
      <c r="A160" s="57">
        <v>157</v>
      </c>
      <c r="D160" s="46" t="s">
        <v>25</v>
      </c>
      <c r="E160" s="46" t="s">
        <v>26</v>
      </c>
      <c r="F160" s="54">
        <v>0</v>
      </c>
      <c r="G160" s="54">
        <v>0</v>
      </c>
      <c r="H160" s="54">
        <v>0</v>
      </c>
      <c r="I160" s="54">
        <v>522.45280140273132</v>
      </c>
      <c r="J160" s="54">
        <v>922.75919301690885</v>
      </c>
      <c r="K160" s="54">
        <v>1102.7869685185894</v>
      </c>
      <c r="L160" s="54">
        <v>1327.9158930459953</v>
      </c>
      <c r="M160" s="54">
        <v>1497.4308500088227</v>
      </c>
      <c r="N160" s="54">
        <v>1648.6389098033014</v>
      </c>
      <c r="O160" s="54">
        <v>1672.6457094432189</v>
      </c>
      <c r="P160" s="54">
        <v>1834.7723806683962</v>
      </c>
      <c r="Q160" s="54">
        <v>1956.2812070516241</v>
      </c>
      <c r="R160" s="54">
        <v>1985.1009745871559</v>
      </c>
      <c r="S160" s="54">
        <v>1972.722082890675</v>
      </c>
      <c r="T160" s="54">
        <v>2025.748102615762</v>
      </c>
      <c r="U160" s="54">
        <v>2229.0111695963046</v>
      </c>
      <c r="V160" s="54">
        <v>2342.8081531787334</v>
      </c>
      <c r="W160" s="54">
        <v>2337.9695926675818</v>
      </c>
      <c r="X160" s="54">
        <v>2469.7768408926154</v>
      </c>
      <c r="Y160" s="54">
        <v>2518.4951784891186</v>
      </c>
      <c r="Z160" s="54">
        <v>2773.4676936831715</v>
      </c>
      <c r="AA160" s="54">
        <v>3023.0878838368035</v>
      </c>
      <c r="AB160" s="54">
        <v>2894.2270638856717</v>
      </c>
      <c r="AC160" s="54">
        <v>2908.2310640198634</v>
      </c>
      <c r="AD160" s="54">
        <v>2898.3798705071549</v>
      </c>
      <c r="AE160" s="54">
        <v>3016.7298867543968</v>
      </c>
    </row>
    <row r="161" spans="1:31" ht="15.5" x14ac:dyDescent="0.35">
      <c r="A161" s="57">
        <v>158</v>
      </c>
      <c r="D161" s="45" t="s">
        <v>15</v>
      </c>
      <c r="E161" s="45" t="s">
        <v>17</v>
      </c>
      <c r="F161" s="52">
        <v>2325.1583355858861</v>
      </c>
      <c r="G161" s="52">
        <v>2363.8127045696378</v>
      </c>
      <c r="H161" s="52">
        <v>2254.380680490156</v>
      </c>
      <c r="I161" s="52">
        <v>2267.4725560137522</v>
      </c>
      <c r="J161" s="52">
        <v>2976.7543336591652</v>
      </c>
      <c r="K161" s="52">
        <v>3104.138620774273</v>
      </c>
      <c r="L161" s="52">
        <v>3155.58133620941</v>
      </c>
      <c r="M161" s="52">
        <v>3212.2768388404684</v>
      </c>
      <c r="N161" s="52">
        <v>3073.2138594925414</v>
      </c>
      <c r="O161" s="52">
        <v>3064.9287670155963</v>
      </c>
      <c r="P161" s="52">
        <v>3147.1378567057868</v>
      </c>
      <c r="Q161" s="52">
        <v>3232.7991103918807</v>
      </c>
      <c r="R161" s="52">
        <v>3375.505166766055</v>
      </c>
      <c r="S161" s="52">
        <v>3581.7096723866571</v>
      </c>
      <c r="T161" s="52">
        <v>3711.3710847302964</v>
      </c>
      <c r="U161" s="52">
        <v>3736.7857890046189</v>
      </c>
      <c r="V161" s="52">
        <v>3520.032987526582</v>
      </c>
      <c r="W161" s="52">
        <v>3698.4108721655216</v>
      </c>
      <c r="X161" s="52">
        <v>3708.4133221142301</v>
      </c>
      <c r="Y161" s="52">
        <v>3840.3062840986031</v>
      </c>
      <c r="Z161" s="52">
        <v>3511.0975428960342</v>
      </c>
      <c r="AA161" s="52">
        <v>3477.4197522039963</v>
      </c>
      <c r="AB161" s="52">
        <v>3498.5108761429092</v>
      </c>
      <c r="AC161" s="52">
        <v>3692.18627397517</v>
      </c>
      <c r="AD161" s="52">
        <v>3718.6678918660564</v>
      </c>
      <c r="AE161" s="52">
        <v>3722.4326085570033</v>
      </c>
    </row>
    <row r="162" spans="1:31" ht="9" customHeight="1" x14ac:dyDescent="0.35">
      <c r="A162" s="57">
        <v>159</v>
      </c>
      <c r="D162" s="49"/>
      <c r="E162" s="49"/>
      <c r="F162" s="51">
        <v>0</v>
      </c>
      <c r="G162" s="51">
        <v>0</v>
      </c>
      <c r="H162" s="51">
        <v>0</v>
      </c>
      <c r="I162" s="51">
        <v>0</v>
      </c>
      <c r="J162" s="51">
        <v>0</v>
      </c>
      <c r="K162" s="51">
        <v>0</v>
      </c>
      <c r="L162" s="51">
        <v>0</v>
      </c>
      <c r="M162" s="51">
        <v>0</v>
      </c>
      <c r="N162" s="51">
        <v>0</v>
      </c>
      <c r="O162" s="51">
        <v>0</v>
      </c>
      <c r="P162" s="51">
        <v>0</v>
      </c>
      <c r="Q162" s="51">
        <v>0</v>
      </c>
      <c r="R162" s="51">
        <v>0</v>
      </c>
      <c r="S162" s="51">
        <v>0</v>
      </c>
      <c r="T162" s="51">
        <v>0</v>
      </c>
      <c r="U162" s="51">
        <v>0</v>
      </c>
      <c r="V162" s="51">
        <v>0</v>
      </c>
      <c r="W162" s="51">
        <v>0</v>
      </c>
      <c r="X162" s="51">
        <v>0</v>
      </c>
      <c r="Y162" s="51">
        <v>0</v>
      </c>
      <c r="Z162" s="51">
        <v>0</v>
      </c>
      <c r="AA162" s="51">
        <v>0</v>
      </c>
      <c r="AB162" s="51">
        <v>0</v>
      </c>
      <c r="AC162" s="51">
        <v>0</v>
      </c>
      <c r="AD162" s="51">
        <v>0</v>
      </c>
      <c r="AE162" s="51">
        <v>0</v>
      </c>
    </row>
    <row r="163" spans="1:31" ht="35.15" customHeight="1" x14ac:dyDescent="0.45">
      <c r="A163" s="57">
        <v>160</v>
      </c>
      <c r="B163" s="50" t="s">
        <v>37</v>
      </c>
      <c r="C163" s="42"/>
      <c r="D163" s="42"/>
      <c r="F163" s="56"/>
      <c r="G163" s="56"/>
      <c r="H163" s="56"/>
      <c r="I163" s="56"/>
      <c r="J163" s="56"/>
      <c r="K163" s="56"/>
      <c r="L163" s="56"/>
      <c r="M163" s="56"/>
      <c r="N163" s="56"/>
      <c r="O163" s="56"/>
      <c r="P163" s="56"/>
      <c r="Q163" s="56"/>
      <c r="R163" s="56"/>
      <c r="S163" s="56"/>
      <c r="T163" s="56"/>
      <c r="U163" s="56"/>
      <c r="V163" s="56"/>
      <c r="W163" s="56"/>
      <c r="X163" s="56"/>
      <c r="Y163" s="99"/>
      <c r="Z163" s="56"/>
      <c r="AA163" s="56"/>
      <c r="AB163" s="56"/>
      <c r="AC163" s="56"/>
      <c r="AD163" s="56"/>
      <c r="AE163" s="56"/>
    </row>
    <row r="164" spans="1:31" ht="26.15" customHeight="1" x14ac:dyDescent="0.45">
      <c r="A164" s="57">
        <v>161</v>
      </c>
      <c r="B164" s="42"/>
      <c r="C164" s="44" t="s">
        <v>7</v>
      </c>
      <c r="D164" s="44"/>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row>
    <row r="165" spans="1:31" ht="18" customHeight="1" x14ac:dyDescent="0.35">
      <c r="A165" s="57">
        <v>162</v>
      </c>
      <c r="D165" s="45" t="s">
        <v>9</v>
      </c>
      <c r="E165" s="45" t="s">
        <v>30</v>
      </c>
      <c r="F165" s="52">
        <f t="shared" ref="F165:K165" si="164">F166+F167+F171+F172</f>
        <v>0</v>
      </c>
      <c r="G165" s="52">
        <f t="shared" si="164"/>
        <v>0</v>
      </c>
      <c r="H165" s="52">
        <f t="shared" si="164"/>
        <v>0</v>
      </c>
      <c r="I165" s="52">
        <f t="shared" si="164"/>
        <v>0</v>
      </c>
      <c r="J165" s="52">
        <f t="shared" si="164"/>
        <v>0</v>
      </c>
      <c r="K165" s="52">
        <f t="shared" si="164"/>
        <v>0</v>
      </c>
      <c r="L165" s="52">
        <f t="shared" ref="L165:AB165" si="165">L166+L167+L171+L172</f>
        <v>0</v>
      </c>
      <c r="M165" s="52">
        <f t="shared" si="165"/>
        <v>0</v>
      </c>
      <c r="N165" s="52">
        <f t="shared" si="165"/>
        <v>0</v>
      </c>
      <c r="O165" s="52">
        <f t="shared" si="165"/>
        <v>0</v>
      </c>
      <c r="P165" s="52">
        <f t="shared" si="165"/>
        <v>0</v>
      </c>
      <c r="Q165" s="52">
        <f t="shared" si="165"/>
        <v>0</v>
      </c>
      <c r="R165" s="52">
        <f t="shared" si="165"/>
        <v>0</v>
      </c>
      <c r="S165" s="52">
        <f t="shared" si="165"/>
        <v>0</v>
      </c>
      <c r="T165" s="52">
        <f t="shared" si="165"/>
        <v>0</v>
      </c>
      <c r="U165" s="52">
        <f t="shared" si="165"/>
        <v>0</v>
      </c>
      <c r="V165" s="52">
        <f t="shared" si="165"/>
        <v>0</v>
      </c>
      <c r="W165" s="52">
        <f t="shared" si="165"/>
        <v>0</v>
      </c>
      <c r="X165" s="52">
        <f t="shared" si="165"/>
        <v>0</v>
      </c>
      <c r="Y165" s="52">
        <f t="shared" si="165"/>
        <v>0</v>
      </c>
      <c r="Z165" s="52">
        <f t="shared" si="165"/>
        <v>0</v>
      </c>
      <c r="AA165" s="52">
        <f t="shared" si="165"/>
        <v>0</v>
      </c>
      <c r="AB165" s="52">
        <f t="shared" si="165"/>
        <v>0</v>
      </c>
      <c r="AC165" s="52">
        <f t="shared" ref="AC165" si="166">AC166+AC167+AC171+AC172</f>
        <v>0</v>
      </c>
      <c r="AD165" s="52">
        <v>0</v>
      </c>
      <c r="AE165" s="52">
        <v>0</v>
      </c>
    </row>
    <row r="166" spans="1:31" x14ac:dyDescent="0.35">
      <c r="A166" s="57">
        <v>163</v>
      </c>
      <c r="D166" s="46" t="s">
        <v>10</v>
      </c>
      <c r="E166" s="46" t="s">
        <v>18</v>
      </c>
      <c r="F166" s="55">
        <v>0</v>
      </c>
      <c r="G166" s="55">
        <v>0</v>
      </c>
      <c r="H166" s="55">
        <v>0</v>
      </c>
      <c r="I166" s="55">
        <v>0</v>
      </c>
      <c r="J166" s="55">
        <v>0</v>
      </c>
      <c r="K166" s="55">
        <v>0</v>
      </c>
      <c r="L166" s="55">
        <v>0</v>
      </c>
      <c r="M166" s="55">
        <v>0</v>
      </c>
      <c r="N166" s="55">
        <v>0</v>
      </c>
      <c r="O166" s="55">
        <v>0</v>
      </c>
      <c r="P166" s="55">
        <v>0</v>
      </c>
      <c r="Q166" s="55">
        <v>0</v>
      </c>
      <c r="R166" s="55">
        <v>0</v>
      </c>
      <c r="S166" s="55">
        <v>0</v>
      </c>
      <c r="T166" s="55">
        <v>0</v>
      </c>
      <c r="U166" s="55">
        <v>0</v>
      </c>
      <c r="V166" s="55">
        <v>0</v>
      </c>
      <c r="W166" s="55">
        <v>0</v>
      </c>
      <c r="X166" s="55">
        <v>0</v>
      </c>
      <c r="Y166" s="55">
        <v>0</v>
      </c>
      <c r="Z166" s="55">
        <v>0</v>
      </c>
      <c r="AA166" s="55">
        <v>0</v>
      </c>
      <c r="AB166" s="55">
        <v>0</v>
      </c>
      <c r="AC166" s="55">
        <v>0</v>
      </c>
      <c r="AD166" s="55">
        <v>0</v>
      </c>
      <c r="AE166" s="55">
        <v>0</v>
      </c>
    </row>
    <row r="167" spans="1:31" x14ac:dyDescent="0.35">
      <c r="A167" s="57">
        <v>164</v>
      </c>
      <c r="D167" s="46" t="s">
        <v>11</v>
      </c>
      <c r="E167" s="46" t="s">
        <v>0</v>
      </c>
      <c r="F167" s="54">
        <f t="shared" ref="F167:K167" si="167">SUM(F168:F170)</f>
        <v>0</v>
      </c>
      <c r="G167" s="54">
        <f t="shared" si="167"/>
        <v>0</v>
      </c>
      <c r="H167" s="54">
        <f t="shared" si="167"/>
        <v>0</v>
      </c>
      <c r="I167" s="54">
        <f t="shared" si="167"/>
        <v>0</v>
      </c>
      <c r="J167" s="54">
        <f t="shared" si="167"/>
        <v>0</v>
      </c>
      <c r="K167" s="54">
        <f t="shared" si="167"/>
        <v>0</v>
      </c>
      <c r="L167" s="54">
        <f t="shared" ref="L167:AB167" si="168">SUM(L168:L170)</f>
        <v>0</v>
      </c>
      <c r="M167" s="54">
        <f t="shared" si="168"/>
        <v>0</v>
      </c>
      <c r="N167" s="54">
        <f t="shared" si="168"/>
        <v>0</v>
      </c>
      <c r="O167" s="54">
        <f t="shared" si="168"/>
        <v>0</v>
      </c>
      <c r="P167" s="54">
        <f t="shared" si="168"/>
        <v>0</v>
      </c>
      <c r="Q167" s="54">
        <f t="shared" si="168"/>
        <v>0</v>
      </c>
      <c r="R167" s="54">
        <f t="shared" si="168"/>
        <v>0</v>
      </c>
      <c r="S167" s="54">
        <f t="shared" si="168"/>
        <v>0</v>
      </c>
      <c r="T167" s="54">
        <f t="shared" si="168"/>
        <v>0</v>
      </c>
      <c r="U167" s="54">
        <f t="shared" si="168"/>
        <v>0</v>
      </c>
      <c r="V167" s="54">
        <f t="shared" si="168"/>
        <v>0</v>
      </c>
      <c r="W167" s="54">
        <f t="shared" si="168"/>
        <v>0</v>
      </c>
      <c r="X167" s="54">
        <f t="shared" si="168"/>
        <v>0</v>
      </c>
      <c r="Y167" s="54">
        <f t="shared" si="168"/>
        <v>0</v>
      </c>
      <c r="Z167" s="54">
        <f t="shared" si="168"/>
        <v>0</v>
      </c>
      <c r="AA167" s="54">
        <f t="shared" si="168"/>
        <v>0</v>
      </c>
      <c r="AB167" s="54">
        <f t="shared" si="168"/>
        <v>0</v>
      </c>
      <c r="AC167" s="54">
        <f t="shared" ref="AC167" si="169">SUM(AC168:AC170)</f>
        <v>0</v>
      </c>
      <c r="AD167" s="54">
        <v>0</v>
      </c>
      <c r="AE167" s="54">
        <v>0</v>
      </c>
    </row>
    <row r="168" spans="1:31" x14ac:dyDescent="0.35">
      <c r="A168" s="57">
        <v>165</v>
      </c>
      <c r="D168" s="47" t="s">
        <v>21</v>
      </c>
      <c r="E168" s="47" t="s">
        <v>20</v>
      </c>
      <c r="F168" s="55">
        <v>0</v>
      </c>
      <c r="G168" s="55">
        <v>0</v>
      </c>
      <c r="H168" s="55">
        <v>0</v>
      </c>
      <c r="I168" s="55">
        <v>0</v>
      </c>
      <c r="J168" s="55">
        <v>0</v>
      </c>
      <c r="K168" s="55">
        <v>0</v>
      </c>
      <c r="L168" s="55">
        <v>0</v>
      </c>
      <c r="M168" s="55">
        <v>0</v>
      </c>
      <c r="N168" s="55">
        <v>0</v>
      </c>
      <c r="O168" s="55">
        <v>0</v>
      </c>
      <c r="P168" s="55">
        <v>0</v>
      </c>
      <c r="Q168" s="55">
        <v>0</v>
      </c>
      <c r="R168" s="55">
        <v>0</v>
      </c>
      <c r="S168" s="55">
        <v>0</v>
      </c>
      <c r="T168" s="55">
        <v>0</v>
      </c>
      <c r="U168" s="55">
        <v>0</v>
      </c>
      <c r="V168" s="55">
        <v>0</v>
      </c>
      <c r="W168" s="55">
        <v>0</v>
      </c>
      <c r="X168" s="55">
        <v>0</v>
      </c>
      <c r="Y168" s="55">
        <v>0</v>
      </c>
      <c r="Z168" s="55">
        <v>0</v>
      </c>
      <c r="AA168" s="55">
        <v>0</v>
      </c>
      <c r="AB168" s="55">
        <v>0</v>
      </c>
      <c r="AC168" s="55">
        <v>0</v>
      </c>
      <c r="AD168" s="55">
        <v>0</v>
      </c>
      <c r="AE168" s="55">
        <v>0</v>
      </c>
    </row>
    <row r="169" spans="1:31" x14ac:dyDescent="0.35">
      <c r="A169" s="57">
        <v>166</v>
      </c>
      <c r="D169" s="47" t="s">
        <v>12</v>
      </c>
      <c r="E169" s="47" t="s">
        <v>22</v>
      </c>
      <c r="F169" s="55">
        <v>0</v>
      </c>
      <c r="G169" s="55">
        <v>0</v>
      </c>
      <c r="H169" s="55">
        <v>0</v>
      </c>
      <c r="I169" s="55">
        <v>0</v>
      </c>
      <c r="J169" s="55">
        <v>0</v>
      </c>
      <c r="K169" s="55">
        <v>0</v>
      </c>
      <c r="L169" s="55">
        <v>0</v>
      </c>
      <c r="M169" s="55">
        <v>0</v>
      </c>
      <c r="N169" s="55">
        <v>0</v>
      </c>
      <c r="O169" s="55">
        <v>0</v>
      </c>
      <c r="P169" s="55">
        <v>0</v>
      </c>
      <c r="Q169" s="55">
        <v>0</v>
      </c>
      <c r="R169" s="55">
        <v>0</v>
      </c>
      <c r="S169" s="55">
        <v>0</v>
      </c>
      <c r="T169" s="55">
        <v>0</v>
      </c>
      <c r="U169" s="55">
        <v>0</v>
      </c>
      <c r="V169" s="55">
        <v>0</v>
      </c>
      <c r="W169" s="55">
        <v>0</v>
      </c>
      <c r="X169" s="55">
        <v>0</v>
      </c>
      <c r="Y169" s="55">
        <v>0</v>
      </c>
      <c r="Z169" s="55">
        <v>0</v>
      </c>
      <c r="AA169" s="55">
        <v>0</v>
      </c>
      <c r="AB169" s="55">
        <v>0</v>
      </c>
      <c r="AC169" s="55">
        <v>0</v>
      </c>
      <c r="AD169" s="55">
        <v>0</v>
      </c>
      <c r="AE169" s="55">
        <v>0</v>
      </c>
    </row>
    <row r="170" spans="1:31" x14ac:dyDescent="0.35">
      <c r="A170" s="57">
        <v>167</v>
      </c>
      <c r="D170" s="47" t="s">
        <v>13</v>
      </c>
      <c r="E170" s="47" t="s">
        <v>23</v>
      </c>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row>
    <row r="171" spans="1:31" x14ac:dyDescent="0.35">
      <c r="A171" s="57">
        <v>168</v>
      </c>
      <c r="D171" s="46" t="s">
        <v>1</v>
      </c>
      <c r="E171" s="46" t="s">
        <v>24</v>
      </c>
      <c r="F171" s="54">
        <v>0</v>
      </c>
      <c r="G171" s="54">
        <v>0</v>
      </c>
      <c r="H171" s="54">
        <v>0</v>
      </c>
      <c r="I171" s="54">
        <v>0</v>
      </c>
      <c r="J171" s="54">
        <v>0</v>
      </c>
      <c r="K171" s="54">
        <v>0</v>
      </c>
      <c r="L171" s="54">
        <v>0</v>
      </c>
      <c r="M171" s="54">
        <v>0</v>
      </c>
      <c r="N171" s="54">
        <v>0</v>
      </c>
      <c r="O171" s="54">
        <v>0</v>
      </c>
      <c r="P171" s="54">
        <v>0</v>
      </c>
      <c r="Q171" s="54">
        <v>0</v>
      </c>
      <c r="R171" s="54">
        <v>0</v>
      </c>
      <c r="S171" s="54">
        <v>0</v>
      </c>
      <c r="T171" s="54">
        <v>0</v>
      </c>
      <c r="U171" s="54">
        <v>0</v>
      </c>
      <c r="V171" s="54">
        <v>0</v>
      </c>
      <c r="W171" s="54">
        <v>0</v>
      </c>
      <c r="X171" s="54">
        <v>0</v>
      </c>
      <c r="Y171" s="54">
        <v>0</v>
      </c>
      <c r="Z171" s="54">
        <v>0</v>
      </c>
      <c r="AA171" s="54">
        <v>0</v>
      </c>
      <c r="AB171" s="54">
        <v>0</v>
      </c>
      <c r="AC171" s="54">
        <v>0</v>
      </c>
      <c r="AD171" s="54">
        <v>0</v>
      </c>
      <c r="AE171" s="54">
        <v>0</v>
      </c>
    </row>
    <row r="172" spans="1:31" x14ac:dyDescent="0.35">
      <c r="A172" s="57">
        <v>169</v>
      </c>
      <c r="D172" s="46" t="s">
        <v>25</v>
      </c>
      <c r="E172" s="46" t="s">
        <v>26</v>
      </c>
      <c r="F172" s="54">
        <v>0</v>
      </c>
      <c r="G172" s="54">
        <v>0</v>
      </c>
      <c r="H172" s="54">
        <v>0</v>
      </c>
      <c r="I172" s="54">
        <v>0</v>
      </c>
      <c r="J172" s="54">
        <v>0</v>
      </c>
      <c r="K172" s="54">
        <v>0</v>
      </c>
      <c r="L172" s="54">
        <v>0</v>
      </c>
      <c r="M172" s="54">
        <v>0</v>
      </c>
      <c r="N172" s="54">
        <v>0</v>
      </c>
      <c r="O172" s="54">
        <v>0</v>
      </c>
      <c r="P172" s="54">
        <v>0</v>
      </c>
      <c r="Q172" s="54">
        <v>0</v>
      </c>
      <c r="R172" s="54">
        <v>0</v>
      </c>
      <c r="S172" s="54">
        <v>0</v>
      </c>
      <c r="T172" s="54">
        <v>0</v>
      </c>
      <c r="U172" s="54">
        <v>0</v>
      </c>
      <c r="V172" s="54">
        <v>0</v>
      </c>
      <c r="W172" s="54">
        <v>0</v>
      </c>
      <c r="X172" s="54">
        <v>0</v>
      </c>
      <c r="Y172" s="54">
        <v>0</v>
      </c>
      <c r="Z172" s="54">
        <v>0</v>
      </c>
      <c r="AA172" s="54">
        <v>0</v>
      </c>
      <c r="AB172" s="54">
        <v>0</v>
      </c>
      <c r="AC172" s="54">
        <v>0</v>
      </c>
      <c r="AD172" s="54">
        <v>0</v>
      </c>
      <c r="AE172" s="54">
        <v>0</v>
      </c>
    </row>
    <row r="173" spans="1:31" ht="15.5" x14ac:dyDescent="0.35">
      <c r="A173" s="57">
        <v>170</v>
      </c>
      <c r="D173" s="45" t="s">
        <v>15</v>
      </c>
      <c r="E173" s="45" t="s">
        <v>17</v>
      </c>
      <c r="F173" s="52">
        <v>0</v>
      </c>
      <c r="G173" s="52">
        <v>0</v>
      </c>
      <c r="H173" s="52">
        <v>0</v>
      </c>
      <c r="I173" s="52">
        <v>0</v>
      </c>
      <c r="J173" s="52">
        <v>0</v>
      </c>
      <c r="K173" s="52">
        <v>0</v>
      </c>
      <c r="L173" s="52">
        <v>0</v>
      </c>
      <c r="M173" s="52">
        <v>0</v>
      </c>
      <c r="N173" s="52">
        <v>0</v>
      </c>
      <c r="O173" s="52">
        <v>0</v>
      </c>
      <c r="P173" s="52">
        <v>0</v>
      </c>
      <c r="Q173" s="52">
        <v>0</v>
      </c>
      <c r="R173" s="52">
        <v>0</v>
      </c>
      <c r="S173" s="52">
        <v>0</v>
      </c>
      <c r="T173" s="52">
        <v>0</v>
      </c>
      <c r="U173" s="52">
        <v>0</v>
      </c>
      <c r="V173" s="52">
        <v>0</v>
      </c>
      <c r="W173" s="52">
        <v>0</v>
      </c>
      <c r="X173" s="52">
        <v>0</v>
      </c>
      <c r="Y173" s="52">
        <v>0</v>
      </c>
      <c r="Z173" s="52">
        <v>0</v>
      </c>
      <c r="AA173" s="52">
        <v>0</v>
      </c>
      <c r="AB173" s="52">
        <v>0</v>
      </c>
      <c r="AC173" s="52">
        <v>0</v>
      </c>
      <c r="AD173" s="52">
        <v>0</v>
      </c>
      <c r="AE173" s="52">
        <v>0</v>
      </c>
    </row>
    <row r="174" spans="1:31" ht="17.25" customHeight="1" x14ac:dyDescent="0.35">
      <c r="A174" s="57">
        <v>171</v>
      </c>
      <c r="D174" s="49"/>
      <c r="E174" s="49"/>
      <c r="F174" s="51">
        <v>0</v>
      </c>
      <c r="G174" s="51">
        <v>0</v>
      </c>
      <c r="H174" s="51">
        <v>0</v>
      </c>
      <c r="I174" s="51">
        <v>0</v>
      </c>
      <c r="J174" s="51">
        <v>0</v>
      </c>
      <c r="K174" s="51">
        <v>0</v>
      </c>
      <c r="L174" s="51">
        <v>0</v>
      </c>
      <c r="M174" s="51">
        <v>0</v>
      </c>
      <c r="N174" s="51">
        <v>0</v>
      </c>
      <c r="O174" s="51">
        <v>0</v>
      </c>
      <c r="P174" s="51">
        <v>0</v>
      </c>
      <c r="Q174" s="51">
        <v>0</v>
      </c>
      <c r="R174" s="51">
        <v>0</v>
      </c>
      <c r="S174" s="51">
        <v>0</v>
      </c>
      <c r="T174" s="51">
        <v>0</v>
      </c>
      <c r="U174" s="51">
        <v>0</v>
      </c>
      <c r="V174" s="51">
        <v>0</v>
      </c>
      <c r="W174" s="51">
        <v>0</v>
      </c>
      <c r="X174" s="51">
        <v>0</v>
      </c>
      <c r="Y174" s="51">
        <v>0</v>
      </c>
      <c r="Z174" s="51">
        <v>0</v>
      </c>
      <c r="AA174" s="51">
        <v>0</v>
      </c>
      <c r="AB174" s="51">
        <v>0</v>
      </c>
      <c r="AC174" s="51">
        <v>0</v>
      </c>
      <c r="AD174" s="51">
        <v>0</v>
      </c>
      <c r="AE174" s="51">
        <v>0</v>
      </c>
    </row>
    <row r="175" spans="1:31" ht="26.15" customHeight="1" x14ac:dyDescent="0.45">
      <c r="A175" s="57">
        <v>172</v>
      </c>
      <c r="B175" s="42"/>
      <c r="C175" s="44" t="s">
        <v>2</v>
      </c>
      <c r="D175" s="44"/>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row>
    <row r="176" spans="1:31" ht="18" customHeight="1" x14ac:dyDescent="0.35">
      <c r="A176" s="57">
        <v>173</v>
      </c>
      <c r="D176" s="45" t="s">
        <v>9</v>
      </c>
      <c r="E176" s="45" t="s">
        <v>30</v>
      </c>
      <c r="F176" s="52">
        <f t="shared" ref="F176:K176" si="170">F177+F178+F182+F183</f>
        <v>0</v>
      </c>
      <c r="G176" s="52">
        <f t="shared" si="170"/>
        <v>9.5000000000000001E-2</v>
      </c>
      <c r="H176" s="52">
        <f t="shared" si="170"/>
        <v>5.2200000000000003E-2</v>
      </c>
      <c r="I176" s="52">
        <f t="shared" si="170"/>
        <v>7.6974340000000003</v>
      </c>
      <c r="J176" s="52">
        <f t="shared" si="170"/>
        <v>0</v>
      </c>
      <c r="K176" s="52">
        <f t="shared" si="170"/>
        <v>0</v>
      </c>
      <c r="L176" s="52">
        <f t="shared" ref="L176:AB176" si="171">L177+L178+L182+L183</f>
        <v>0</v>
      </c>
      <c r="M176" s="52">
        <f t="shared" si="171"/>
        <v>0</v>
      </c>
      <c r="N176" s="52">
        <f t="shared" si="171"/>
        <v>0</v>
      </c>
      <c r="O176" s="52">
        <f t="shared" si="171"/>
        <v>0</v>
      </c>
      <c r="P176" s="52">
        <f t="shared" si="171"/>
        <v>0</v>
      </c>
      <c r="Q176" s="52">
        <f t="shared" si="171"/>
        <v>0</v>
      </c>
      <c r="R176" s="52">
        <f t="shared" si="171"/>
        <v>0</v>
      </c>
      <c r="S176" s="52">
        <f t="shared" si="171"/>
        <v>0</v>
      </c>
      <c r="T176" s="52">
        <f t="shared" si="171"/>
        <v>0</v>
      </c>
      <c r="U176" s="52">
        <f t="shared" si="171"/>
        <v>0</v>
      </c>
      <c r="V176" s="52">
        <f t="shared" si="171"/>
        <v>0</v>
      </c>
      <c r="W176" s="52">
        <f t="shared" si="171"/>
        <v>0</v>
      </c>
      <c r="X176" s="52">
        <f t="shared" si="171"/>
        <v>0</v>
      </c>
      <c r="Y176" s="52">
        <f t="shared" si="171"/>
        <v>0</v>
      </c>
      <c r="Z176" s="52">
        <f t="shared" si="171"/>
        <v>0</v>
      </c>
      <c r="AA176" s="52">
        <f t="shared" si="171"/>
        <v>0</v>
      </c>
      <c r="AB176" s="52">
        <f t="shared" si="171"/>
        <v>0</v>
      </c>
      <c r="AC176" s="52">
        <f t="shared" ref="AC176" si="172">AC177+AC178+AC182+AC183</f>
        <v>0</v>
      </c>
      <c r="AD176" s="52">
        <v>0</v>
      </c>
      <c r="AE176" s="52">
        <v>0</v>
      </c>
    </row>
    <row r="177" spans="1:31" x14ac:dyDescent="0.35">
      <c r="A177" s="57">
        <v>174</v>
      </c>
      <c r="D177" s="46" t="s">
        <v>10</v>
      </c>
      <c r="E177" s="46" t="s">
        <v>18</v>
      </c>
      <c r="F177" s="54">
        <v>0</v>
      </c>
      <c r="G177" s="54">
        <v>0</v>
      </c>
      <c r="H177" s="54">
        <v>0</v>
      </c>
      <c r="I177" s="54">
        <v>0</v>
      </c>
      <c r="J177" s="54">
        <v>0</v>
      </c>
      <c r="K177" s="54">
        <v>0</v>
      </c>
      <c r="L177" s="54">
        <v>0</v>
      </c>
      <c r="M177" s="54">
        <v>0</v>
      </c>
      <c r="N177" s="54">
        <v>0</v>
      </c>
      <c r="O177" s="54">
        <v>0</v>
      </c>
      <c r="P177" s="54">
        <v>0</v>
      </c>
      <c r="Q177" s="54">
        <v>0</v>
      </c>
      <c r="R177" s="54">
        <v>0</v>
      </c>
      <c r="S177" s="54">
        <v>0</v>
      </c>
      <c r="T177" s="54">
        <v>0</v>
      </c>
      <c r="U177" s="54">
        <v>0</v>
      </c>
      <c r="V177" s="54">
        <v>0</v>
      </c>
      <c r="W177" s="54">
        <v>0</v>
      </c>
      <c r="X177" s="54">
        <v>0</v>
      </c>
      <c r="Y177" s="54">
        <v>0</v>
      </c>
      <c r="Z177" s="54">
        <v>0</v>
      </c>
      <c r="AA177" s="54">
        <v>0</v>
      </c>
      <c r="AB177" s="54">
        <v>0</v>
      </c>
      <c r="AC177" s="54">
        <v>0</v>
      </c>
      <c r="AD177" s="54">
        <v>0</v>
      </c>
      <c r="AE177" s="54">
        <v>0</v>
      </c>
    </row>
    <row r="178" spans="1:31" x14ac:dyDescent="0.35">
      <c r="A178" s="57">
        <v>175</v>
      </c>
      <c r="D178" s="46" t="s">
        <v>11</v>
      </c>
      <c r="E178" s="46" t="s">
        <v>0</v>
      </c>
      <c r="F178" s="54">
        <f t="shared" ref="F178:K178" si="173">SUM(F179:F181)</f>
        <v>0</v>
      </c>
      <c r="G178" s="54">
        <f t="shared" si="173"/>
        <v>9.5000000000000001E-2</v>
      </c>
      <c r="H178" s="54">
        <f t="shared" si="173"/>
        <v>5.2200000000000003E-2</v>
      </c>
      <c r="I178" s="54">
        <f t="shared" si="173"/>
        <v>7.6974340000000003</v>
      </c>
      <c r="J178" s="54">
        <f t="shared" si="173"/>
        <v>0</v>
      </c>
      <c r="K178" s="54">
        <f t="shared" si="173"/>
        <v>0</v>
      </c>
      <c r="L178" s="54">
        <f t="shared" ref="L178:AB178" si="174">SUM(L179:L181)</f>
        <v>0</v>
      </c>
      <c r="M178" s="54">
        <f t="shared" si="174"/>
        <v>0</v>
      </c>
      <c r="N178" s="54">
        <f t="shared" si="174"/>
        <v>0</v>
      </c>
      <c r="O178" s="54">
        <f t="shared" si="174"/>
        <v>0</v>
      </c>
      <c r="P178" s="54">
        <f t="shared" si="174"/>
        <v>0</v>
      </c>
      <c r="Q178" s="54">
        <f t="shared" si="174"/>
        <v>0</v>
      </c>
      <c r="R178" s="54">
        <f t="shared" si="174"/>
        <v>0</v>
      </c>
      <c r="S178" s="54">
        <f t="shared" si="174"/>
        <v>0</v>
      </c>
      <c r="T178" s="54">
        <f t="shared" si="174"/>
        <v>0</v>
      </c>
      <c r="U178" s="54">
        <f t="shared" si="174"/>
        <v>0</v>
      </c>
      <c r="V178" s="54">
        <f t="shared" si="174"/>
        <v>0</v>
      </c>
      <c r="W178" s="54">
        <f t="shared" si="174"/>
        <v>0</v>
      </c>
      <c r="X178" s="54">
        <f t="shared" si="174"/>
        <v>0</v>
      </c>
      <c r="Y178" s="54">
        <f t="shared" si="174"/>
        <v>0</v>
      </c>
      <c r="Z178" s="54">
        <f t="shared" si="174"/>
        <v>0</v>
      </c>
      <c r="AA178" s="54">
        <f t="shared" si="174"/>
        <v>0</v>
      </c>
      <c r="AB178" s="54">
        <f t="shared" si="174"/>
        <v>0</v>
      </c>
      <c r="AC178" s="54">
        <f t="shared" ref="AC178" si="175">SUM(AC179:AC181)</f>
        <v>0</v>
      </c>
      <c r="AD178" s="54">
        <v>0</v>
      </c>
      <c r="AE178" s="54">
        <v>0</v>
      </c>
    </row>
    <row r="179" spans="1:31" x14ac:dyDescent="0.35">
      <c r="A179" s="57">
        <v>176</v>
      </c>
      <c r="D179" s="47" t="s">
        <v>21</v>
      </c>
      <c r="E179" s="47" t="s">
        <v>20</v>
      </c>
      <c r="F179" s="55">
        <v>0</v>
      </c>
      <c r="G179" s="55">
        <v>9.5000000000000001E-2</v>
      </c>
      <c r="H179" s="55">
        <v>5.2200000000000003E-2</v>
      </c>
      <c r="I179" s="55">
        <v>7.6974340000000003</v>
      </c>
      <c r="J179" s="55">
        <v>0</v>
      </c>
      <c r="K179" s="55">
        <v>0</v>
      </c>
      <c r="L179" s="55">
        <v>0</v>
      </c>
      <c r="M179" s="55">
        <v>0</v>
      </c>
      <c r="N179" s="55">
        <v>0</v>
      </c>
      <c r="O179" s="55">
        <v>0</v>
      </c>
      <c r="P179" s="55">
        <v>0</v>
      </c>
      <c r="Q179" s="55">
        <v>0</v>
      </c>
      <c r="R179" s="55">
        <v>0</v>
      </c>
      <c r="S179" s="55">
        <v>0</v>
      </c>
      <c r="T179" s="55">
        <v>0</v>
      </c>
      <c r="U179" s="55">
        <v>0</v>
      </c>
      <c r="V179" s="55">
        <v>0</v>
      </c>
      <c r="W179" s="55">
        <v>0</v>
      </c>
      <c r="X179" s="55">
        <v>0</v>
      </c>
      <c r="Y179" s="55">
        <v>0</v>
      </c>
      <c r="Z179" s="55">
        <v>0</v>
      </c>
      <c r="AA179" s="55">
        <v>0</v>
      </c>
      <c r="AB179" s="55">
        <v>0</v>
      </c>
      <c r="AC179" s="55">
        <v>0</v>
      </c>
      <c r="AD179" s="55">
        <v>0</v>
      </c>
      <c r="AE179" s="55">
        <v>0</v>
      </c>
    </row>
    <row r="180" spans="1:31" x14ac:dyDescent="0.35">
      <c r="A180" s="57">
        <v>177</v>
      </c>
      <c r="D180" s="47" t="s">
        <v>12</v>
      </c>
      <c r="E180" s="47" t="s">
        <v>22</v>
      </c>
      <c r="F180" s="55">
        <v>0</v>
      </c>
      <c r="G180" s="55">
        <v>0</v>
      </c>
      <c r="H180" s="55">
        <v>0</v>
      </c>
      <c r="I180" s="55">
        <v>0</v>
      </c>
      <c r="J180" s="55">
        <v>0</v>
      </c>
      <c r="K180" s="55">
        <v>0</v>
      </c>
      <c r="L180" s="55">
        <v>0</v>
      </c>
      <c r="M180" s="55">
        <v>0</v>
      </c>
      <c r="N180" s="55">
        <v>0</v>
      </c>
      <c r="O180" s="55">
        <v>0</v>
      </c>
      <c r="P180" s="55">
        <v>0</v>
      </c>
      <c r="Q180" s="55">
        <v>0</v>
      </c>
      <c r="R180" s="55">
        <v>0</v>
      </c>
      <c r="S180" s="55">
        <v>0</v>
      </c>
      <c r="T180" s="55">
        <v>0</v>
      </c>
      <c r="U180" s="55">
        <v>0</v>
      </c>
      <c r="V180" s="55">
        <v>0</v>
      </c>
      <c r="W180" s="55">
        <v>0</v>
      </c>
      <c r="X180" s="55">
        <v>0</v>
      </c>
      <c r="Y180" s="55">
        <v>0</v>
      </c>
      <c r="Z180" s="55">
        <v>0</v>
      </c>
      <c r="AA180" s="55">
        <v>0</v>
      </c>
      <c r="AB180" s="55">
        <v>0</v>
      </c>
      <c r="AC180" s="55">
        <v>0</v>
      </c>
      <c r="AD180" s="55">
        <v>0</v>
      </c>
      <c r="AE180" s="55">
        <v>0</v>
      </c>
    </row>
    <row r="181" spans="1:31" x14ac:dyDescent="0.35">
      <c r="A181" s="57">
        <v>178</v>
      </c>
      <c r="D181" s="47" t="s">
        <v>13</v>
      </c>
      <c r="E181" s="47" t="s">
        <v>23</v>
      </c>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row>
    <row r="182" spans="1:31" x14ac:dyDescent="0.35">
      <c r="A182" s="57">
        <v>179</v>
      </c>
      <c r="D182" s="46" t="s">
        <v>1</v>
      </c>
      <c r="E182" s="46" t="s">
        <v>24</v>
      </c>
      <c r="F182" s="54">
        <v>0</v>
      </c>
      <c r="G182" s="54">
        <v>0</v>
      </c>
      <c r="H182" s="54">
        <v>0</v>
      </c>
      <c r="I182" s="54">
        <v>0</v>
      </c>
      <c r="J182" s="54">
        <v>0</v>
      </c>
      <c r="K182" s="54">
        <v>0</v>
      </c>
      <c r="L182" s="54">
        <v>0</v>
      </c>
      <c r="M182" s="54">
        <v>0</v>
      </c>
      <c r="N182" s="54">
        <v>0</v>
      </c>
      <c r="O182" s="54">
        <v>0</v>
      </c>
      <c r="P182" s="54">
        <v>0</v>
      </c>
      <c r="Q182" s="54">
        <v>0</v>
      </c>
      <c r="R182" s="54">
        <v>0</v>
      </c>
      <c r="S182" s="54">
        <v>0</v>
      </c>
      <c r="T182" s="54">
        <v>0</v>
      </c>
      <c r="U182" s="54">
        <v>0</v>
      </c>
      <c r="V182" s="54">
        <v>0</v>
      </c>
      <c r="W182" s="54">
        <v>0</v>
      </c>
      <c r="X182" s="54">
        <v>0</v>
      </c>
      <c r="Y182" s="54">
        <v>0</v>
      </c>
      <c r="Z182" s="54">
        <v>0</v>
      </c>
      <c r="AA182" s="54">
        <v>0</v>
      </c>
      <c r="AB182" s="54">
        <v>0</v>
      </c>
      <c r="AC182" s="54">
        <v>0</v>
      </c>
      <c r="AD182" s="54">
        <v>0</v>
      </c>
      <c r="AE182" s="54">
        <v>0</v>
      </c>
    </row>
    <row r="183" spans="1:31" x14ac:dyDescent="0.35">
      <c r="A183" s="57">
        <v>180</v>
      </c>
      <c r="D183" s="46" t="s">
        <v>25</v>
      </c>
      <c r="E183" s="46" t="s">
        <v>26</v>
      </c>
      <c r="F183" s="54">
        <v>0</v>
      </c>
      <c r="G183" s="54">
        <v>0</v>
      </c>
      <c r="H183" s="54">
        <v>0</v>
      </c>
      <c r="I183" s="54">
        <v>0</v>
      </c>
      <c r="J183" s="54">
        <v>0</v>
      </c>
      <c r="K183" s="54">
        <v>0</v>
      </c>
      <c r="L183" s="54">
        <v>0</v>
      </c>
      <c r="M183" s="54">
        <v>0</v>
      </c>
      <c r="N183" s="54">
        <v>0</v>
      </c>
      <c r="O183" s="54">
        <v>0</v>
      </c>
      <c r="P183" s="54">
        <v>0</v>
      </c>
      <c r="Q183" s="54">
        <v>0</v>
      </c>
      <c r="R183" s="54">
        <v>0</v>
      </c>
      <c r="S183" s="54">
        <v>0</v>
      </c>
      <c r="T183" s="54">
        <v>0</v>
      </c>
      <c r="U183" s="54">
        <v>0</v>
      </c>
      <c r="V183" s="54">
        <v>0</v>
      </c>
      <c r="W183" s="54">
        <v>0</v>
      </c>
      <c r="X183" s="54">
        <v>0</v>
      </c>
      <c r="Y183" s="54">
        <v>0</v>
      </c>
      <c r="Z183" s="54">
        <v>0</v>
      </c>
      <c r="AA183" s="54">
        <v>0</v>
      </c>
      <c r="AB183" s="54">
        <v>0</v>
      </c>
      <c r="AC183" s="54">
        <v>0</v>
      </c>
      <c r="AD183" s="54">
        <v>0</v>
      </c>
      <c r="AE183" s="54">
        <v>0</v>
      </c>
    </row>
    <row r="184" spans="1:31" ht="15.5" x14ac:dyDescent="0.35">
      <c r="A184" s="57">
        <v>181</v>
      </c>
      <c r="D184" s="45" t="s">
        <v>15</v>
      </c>
      <c r="E184" s="45" t="s">
        <v>17</v>
      </c>
      <c r="F184" s="52">
        <v>0</v>
      </c>
      <c r="G184" s="52">
        <v>0</v>
      </c>
      <c r="H184" s="52">
        <v>0</v>
      </c>
      <c r="I184" s="52">
        <v>0</v>
      </c>
      <c r="J184" s="52">
        <v>0</v>
      </c>
      <c r="K184" s="52">
        <v>0</v>
      </c>
      <c r="L184" s="52">
        <v>0</v>
      </c>
      <c r="M184" s="52">
        <v>0</v>
      </c>
      <c r="N184" s="52">
        <v>0</v>
      </c>
      <c r="O184" s="52">
        <v>0</v>
      </c>
      <c r="P184" s="52">
        <v>0</v>
      </c>
      <c r="Q184" s="52">
        <v>0</v>
      </c>
      <c r="R184" s="52">
        <v>0</v>
      </c>
      <c r="S184" s="52">
        <v>0</v>
      </c>
      <c r="T184" s="52">
        <v>0</v>
      </c>
      <c r="U184" s="52">
        <v>0</v>
      </c>
      <c r="V184" s="52">
        <v>0</v>
      </c>
      <c r="W184" s="52">
        <v>0</v>
      </c>
      <c r="X184" s="52">
        <v>0</v>
      </c>
      <c r="Y184" s="52">
        <v>0</v>
      </c>
      <c r="Z184" s="52">
        <v>0</v>
      </c>
      <c r="AA184" s="52">
        <v>0</v>
      </c>
      <c r="AB184" s="52">
        <v>0</v>
      </c>
      <c r="AC184" s="52">
        <v>0</v>
      </c>
      <c r="AD184" s="52">
        <v>0</v>
      </c>
      <c r="AE184" s="52">
        <v>0</v>
      </c>
    </row>
    <row r="185" spans="1:31" ht="9" customHeight="1" x14ac:dyDescent="0.35">
      <c r="A185" s="57">
        <v>182</v>
      </c>
      <c r="D185" s="49"/>
      <c r="E185" s="49"/>
      <c r="F185" s="51">
        <v>0</v>
      </c>
      <c r="G185" s="51">
        <v>0</v>
      </c>
      <c r="H185" s="51">
        <v>0</v>
      </c>
      <c r="I185" s="51">
        <v>0</v>
      </c>
      <c r="J185" s="51">
        <v>0</v>
      </c>
      <c r="K185" s="51">
        <v>0</v>
      </c>
      <c r="L185" s="51">
        <v>0</v>
      </c>
      <c r="M185" s="51">
        <v>0</v>
      </c>
      <c r="N185" s="51">
        <v>0</v>
      </c>
      <c r="O185" s="51">
        <v>0</v>
      </c>
      <c r="P185" s="51">
        <v>0</v>
      </c>
      <c r="Q185" s="51">
        <v>0</v>
      </c>
      <c r="R185" s="51">
        <v>0</v>
      </c>
      <c r="S185" s="51">
        <v>0</v>
      </c>
      <c r="T185" s="51">
        <v>0</v>
      </c>
      <c r="U185" s="51">
        <v>0</v>
      </c>
      <c r="V185" s="51">
        <v>0</v>
      </c>
      <c r="W185" s="51">
        <v>0</v>
      </c>
      <c r="X185" s="51">
        <v>0</v>
      </c>
      <c r="Y185" s="51">
        <v>0</v>
      </c>
      <c r="Z185" s="51">
        <v>0</v>
      </c>
      <c r="AA185" s="51">
        <v>0</v>
      </c>
      <c r="AB185" s="51">
        <v>0</v>
      </c>
      <c r="AC185" s="51">
        <v>0</v>
      </c>
      <c r="AD185" s="51">
        <v>0</v>
      </c>
      <c r="AE185" s="51">
        <v>0</v>
      </c>
    </row>
    <row r="186" spans="1:31" ht="26.15" customHeight="1" x14ac:dyDescent="0.45">
      <c r="A186" s="57">
        <v>183</v>
      </c>
      <c r="B186" s="42"/>
      <c r="C186" s="44" t="s">
        <v>19</v>
      </c>
      <c r="D186" s="44"/>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row>
    <row r="187" spans="1:31" ht="18" customHeight="1" x14ac:dyDescent="0.35">
      <c r="A187" s="57">
        <v>184</v>
      </c>
      <c r="D187" s="45" t="s">
        <v>9</v>
      </c>
      <c r="E187" s="45" t="s">
        <v>30</v>
      </c>
      <c r="F187" s="52">
        <f t="shared" ref="F187:K187" si="176">F188+F189+F193+F194</f>
        <v>580.88639618338971</v>
      </c>
      <c r="G187" s="52">
        <f t="shared" si="176"/>
        <v>632.82314175055012</v>
      </c>
      <c r="H187" s="52">
        <f t="shared" si="176"/>
        <v>668.59306164036605</v>
      </c>
      <c r="I187" s="52">
        <f t="shared" si="176"/>
        <v>705.14197286738352</v>
      </c>
      <c r="J187" s="52">
        <f t="shared" si="176"/>
        <v>570.22916086655857</v>
      </c>
      <c r="K187" s="52">
        <f t="shared" si="176"/>
        <v>461.26607339723739</v>
      </c>
      <c r="L187" s="52">
        <f t="shared" ref="L187:AB187" si="177">L188+L189+L193+L194</f>
        <v>479.10596471710471</v>
      </c>
      <c r="M187" s="52">
        <f t="shared" si="177"/>
        <v>498.22367795787829</v>
      </c>
      <c r="N187" s="52">
        <f t="shared" si="177"/>
        <v>535.04019901814104</v>
      </c>
      <c r="O187" s="52">
        <f t="shared" si="177"/>
        <v>493.28153625144819</v>
      </c>
      <c r="P187" s="52">
        <f t="shared" si="177"/>
        <v>497.3760819254959</v>
      </c>
      <c r="Q187" s="52">
        <f t="shared" si="177"/>
        <v>590.85692487485051</v>
      </c>
      <c r="R187" s="52">
        <f t="shared" si="177"/>
        <v>574.90376486674654</v>
      </c>
      <c r="S187" s="52">
        <f t="shared" si="177"/>
        <v>605.10418811119553</v>
      </c>
      <c r="T187" s="52">
        <f t="shared" si="177"/>
        <v>583.43743679044428</v>
      </c>
      <c r="U187" s="52">
        <f t="shared" si="177"/>
        <v>606.66624557860246</v>
      </c>
      <c r="V187" s="52">
        <f t="shared" si="177"/>
        <v>677.28935116619277</v>
      </c>
      <c r="W187" s="52">
        <f t="shared" si="177"/>
        <v>713.99365971594261</v>
      </c>
      <c r="X187" s="52">
        <f t="shared" si="177"/>
        <v>811.67979972168223</v>
      </c>
      <c r="Y187" s="52">
        <f t="shared" si="177"/>
        <v>886.13241259725783</v>
      </c>
      <c r="Z187" s="52">
        <f t="shared" si="177"/>
        <v>867.97371683090137</v>
      </c>
      <c r="AA187" s="52">
        <f t="shared" si="177"/>
        <v>891.22975228316909</v>
      </c>
      <c r="AB187" s="52">
        <f t="shared" si="177"/>
        <v>929.11869948105925</v>
      </c>
      <c r="AC187" s="52">
        <f t="shared" ref="AC187" si="178">AC188+AC189+AC193+AC194</f>
        <v>987.4358004263986</v>
      </c>
      <c r="AD187" s="52">
        <v>1007.8905457148571</v>
      </c>
      <c r="AE187" s="52">
        <v>1020.6642880386997</v>
      </c>
    </row>
    <row r="188" spans="1:31" x14ac:dyDescent="0.35">
      <c r="A188" s="57">
        <v>185</v>
      </c>
      <c r="D188" s="46" t="s">
        <v>10</v>
      </c>
      <c r="E188" s="46" t="s">
        <v>18</v>
      </c>
      <c r="F188" s="55">
        <v>443.93594171872064</v>
      </c>
      <c r="G188" s="55">
        <v>466.40419886100102</v>
      </c>
      <c r="H188" s="55">
        <v>479.18047578503115</v>
      </c>
      <c r="I188" s="55">
        <v>463.10774773031454</v>
      </c>
      <c r="J188" s="55">
        <v>374.50265696880365</v>
      </c>
      <c r="K188" s="55">
        <v>260.94339548538301</v>
      </c>
      <c r="L188" s="55">
        <v>268.29098357561691</v>
      </c>
      <c r="M188" s="55">
        <v>272.98989072217029</v>
      </c>
      <c r="N188" s="55">
        <v>308.39446896640874</v>
      </c>
      <c r="O188" s="55">
        <v>279.05490219925167</v>
      </c>
      <c r="P188" s="55">
        <v>278.52193054112871</v>
      </c>
      <c r="Q188" s="55">
        <v>289.13887278748092</v>
      </c>
      <c r="R188" s="55">
        <v>274.09261027527697</v>
      </c>
      <c r="S188" s="55">
        <v>288.49104240314415</v>
      </c>
      <c r="T188" s="55">
        <v>330.05710714448327</v>
      </c>
      <c r="U188" s="55">
        <v>343.19790502198651</v>
      </c>
      <c r="V188" s="55">
        <v>263.97156107022465</v>
      </c>
      <c r="W188" s="55">
        <v>298.51162276959172</v>
      </c>
      <c r="X188" s="55">
        <v>337.54876595225335</v>
      </c>
      <c r="Y188" s="55">
        <v>379.7990835854082</v>
      </c>
      <c r="Z188" s="55">
        <v>370.76414395448916</v>
      </c>
      <c r="AA188" s="55">
        <v>379.50492492017054</v>
      </c>
      <c r="AB188" s="55">
        <v>391.1403383480411</v>
      </c>
      <c r="AC188" s="55">
        <v>430.22746488494272</v>
      </c>
      <c r="AD188" s="55">
        <v>435.11526582590773</v>
      </c>
      <c r="AE188" s="55">
        <v>440.62980340189853</v>
      </c>
    </row>
    <row r="189" spans="1:31" x14ac:dyDescent="0.35">
      <c r="A189" s="57">
        <v>186</v>
      </c>
      <c r="D189" s="46" t="s">
        <v>11</v>
      </c>
      <c r="E189" s="46" t="s">
        <v>0</v>
      </c>
      <c r="F189" s="54">
        <f t="shared" ref="F189:K189" si="179">SUM(F190:F192)</f>
        <v>42.486248414902661</v>
      </c>
      <c r="G189" s="54">
        <f t="shared" si="179"/>
        <v>44.463309187411468</v>
      </c>
      <c r="H189" s="54">
        <f t="shared" si="179"/>
        <v>45.614304748705734</v>
      </c>
      <c r="I189" s="54">
        <f t="shared" si="179"/>
        <v>56.004352767166253</v>
      </c>
      <c r="J189" s="54">
        <f t="shared" si="179"/>
        <v>45.289198930301147</v>
      </c>
      <c r="K189" s="54">
        <f t="shared" si="179"/>
        <v>28.366904422509954</v>
      </c>
      <c r="L189" s="54">
        <f t="shared" ref="L189:AB189" si="180">SUM(L190:L192)</f>
        <v>29.098958516904389</v>
      </c>
      <c r="M189" s="54">
        <f t="shared" si="180"/>
        <v>28.188979351497178</v>
      </c>
      <c r="N189" s="54">
        <f t="shared" si="180"/>
        <v>26.673321746667931</v>
      </c>
      <c r="O189" s="54">
        <f t="shared" si="180"/>
        <v>30.335788819619516</v>
      </c>
      <c r="P189" s="54">
        <f t="shared" si="180"/>
        <v>30.208611541282554</v>
      </c>
      <c r="Q189" s="54">
        <f t="shared" si="180"/>
        <v>25.46254720640993</v>
      </c>
      <c r="R189" s="54">
        <f t="shared" si="180"/>
        <v>25.170649313093929</v>
      </c>
      <c r="S189" s="54">
        <f t="shared" si="180"/>
        <v>26.492895415916426</v>
      </c>
      <c r="T189" s="54">
        <f t="shared" si="180"/>
        <v>35.880189245342066</v>
      </c>
      <c r="U189" s="54">
        <f t="shared" si="180"/>
        <v>37.308712687114856</v>
      </c>
      <c r="V189" s="54">
        <f t="shared" si="180"/>
        <v>24.515383670954186</v>
      </c>
      <c r="W189" s="54">
        <f t="shared" si="180"/>
        <v>24.211102842913611</v>
      </c>
      <c r="X189" s="54">
        <f t="shared" si="180"/>
        <v>25.80898835402818</v>
      </c>
      <c r="Y189" s="54">
        <f t="shared" si="180"/>
        <v>27.981072995929896</v>
      </c>
      <c r="Z189" s="54">
        <f t="shared" si="180"/>
        <v>26.004009490143495</v>
      </c>
      <c r="AA189" s="54">
        <f t="shared" si="180"/>
        <v>27.524428000082189</v>
      </c>
      <c r="AB189" s="54">
        <f t="shared" si="180"/>
        <v>28.519512777477246</v>
      </c>
      <c r="AC189" s="54">
        <f t="shared" ref="AC189" si="181">SUM(AC190:AC192)</f>
        <v>31.020776965481968</v>
      </c>
      <c r="AD189" s="54">
        <v>29.48005852974833</v>
      </c>
      <c r="AE189" s="54">
        <v>29.853681115010026</v>
      </c>
    </row>
    <row r="190" spans="1:31" x14ac:dyDescent="0.35">
      <c r="A190" s="57">
        <v>187</v>
      </c>
      <c r="D190" s="47" t="s">
        <v>21</v>
      </c>
      <c r="E190" s="47" t="s">
        <v>20</v>
      </c>
      <c r="F190" s="55">
        <v>42.486248414902661</v>
      </c>
      <c r="G190" s="55">
        <v>44.463309187411468</v>
      </c>
      <c r="H190" s="55">
        <v>45.614304748705734</v>
      </c>
      <c r="I190" s="55">
        <v>56.004352767166253</v>
      </c>
      <c r="J190" s="55">
        <v>45.289198930301147</v>
      </c>
      <c r="K190" s="55">
        <v>28.366904422509954</v>
      </c>
      <c r="L190" s="55">
        <v>29.098958516904389</v>
      </c>
      <c r="M190" s="55">
        <v>28.188979351497178</v>
      </c>
      <c r="N190" s="55">
        <v>26.673321746667931</v>
      </c>
      <c r="O190" s="55">
        <v>30.335788819619516</v>
      </c>
      <c r="P190" s="55">
        <v>30.208611541282554</v>
      </c>
      <c r="Q190" s="55">
        <v>25.46254720640993</v>
      </c>
      <c r="R190" s="55">
        <v>25.170649313093929</v>
      </c>
      <c r="S190" s="55">
        <v>26.492895415916426</v>
      </c>
      <c r="T190" s="55">
        <v>35.880189245342066</v>
      </c>
      <c r="U190" s="55">
        <v>37.308712687114856</v>
      </c>
      <c r="V190" s="55">
        <v>24.515383670954186</v>
      </c>
      <c r="W190" s="55">
        <v>24.211102842913611</v>
      </c>
      <c r="X190" s="55">
        <v>25.80898835402818</v>
      </c>
      <c r="Y190" s="55">
        <v>27.981072995929896</v>
      </c>
      <c r="Z190" s="55">
        <v>26.004009490143495</v>
      </c>
      <c r="AA190" s="55">
        <v>27.524428000082189</v>
      </c>
      <c r="AB190" s="55">
        <v>28.519512777477246</v>
      </c>
      <c r="AC190" s="55">
        <v>31.020776965481968</v>
      </c>
      <c r="AD190" s="55">
        <v>29.48005852974833</v>
      </c>
      <c r="AE190" s="55">
        <v>29.853681115010026</v>
      </c>
    </row>
    <row r="191" spans="1:31" x14ac:dyDescent="0.35">
      <c r="A191" s="57">
        <v>188</v>
      </c>
      <c r="D191" s="47" t="s">
        <v>12</v>
      </c>
      <c r="E191" s="47" t="s">
        <v>22</v>
      </c>
      <c r="F191" s="55">
        <v>0</v>
      </c>
      <c r="G191" s="55">
        <v>0</v>
      </c>
      <c r="H191" s="55">
        <v>0</v>
      </c>
      <c r="I191" s="55">
        <v>0</v>
      </c>
      <c r="J191" s="55">
        <v>0</v>
      </c>
      <c r="K191" s="55">
        <v>0</v>
      </c>
      <c r="L191" s="55">
        <v>0</v>
      </c>
      <c r="M191" s="55">
        <v>0</v>
      </c>
      <c r="N191" s="55">
        <v>0</v>
      </c>
      <c r="O191" s="55">
        <v>0</v>
      </c>
      <c r="P191" s="55">
        <v>0</v>
      </c>
      <c r="Q191" s="55">
        <v>0</v>
      </c>
      <c r="R191" s="55">
        <v>0</v>
      </c>
      <c r="S191" s="55">
        <v>0</v>
      </c>
      <c r="T191" s="55">
        <v>0</v>
      </c>
      <c r="U191" s="55">
        <v>0</v>
      </c>
      <c r="V191" s="55">
        <v>0</v>
      </c>
      <c r="W191" s="55">
        <v>0</v>
      </c>
      <c r="X191" s="55">
        <v>0</v>
      </c>
      <c r="Y191" s="55">
        <v>0</v>
      </c>
      <c r="Z191" s="55">
        <v>0</v>
      </c>
      <c r="AA191" s="55">
        <v>0</v>
      </c>
      <c r="AB191" s="55">
        <v>0</v>
      </c>
      <c r="AC191" s="55">
        <v>0</v>
      </c>
      <c r="AD191" s="55">
        <v>0</v>
      </c>
      <c r="AE191" s="55">
        <v>0</v>
      </c>
    </row>
    <row r="192" spans="1:31" x14ac:dyDescent="0.35">
      <c r="A192" s="57">
        <v>189</v>
      </c>
      <c r="D192" s="47" t="s">
        <v>13</v>
      </c>
      <c r="E192" s="47" t="s">
        <v>23</v>
      </c>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row>
    <row r="193" spans="1:31" x14ac:dyDescent="0.35">
      <c r="A193" s="57">
        <v>190</v>
      </c>
      <c r="D193" s="46" t="s">
        <v>1</v>
      </c>
      <c r="E193" s="46" t="s">
        <v>24</v>
      </c>
      <c r="F193" s="54">
        <v>0.35733552740785113</v>
      </c>
      <c r="G193" s="54">
        <v>0.37160618249169453</v>
      </c>
      <c r="H193" s="54">
        <v>0</v>
      </c>
      <c r="I193" s="54">
        <v>0</v>
      </c>
      <c r="J193" s="54">
        <v>0</v>
      </c>
      <c r="K193" s="54">
        <v>0</v>
      </c>
      <c r="L193" s="54">
        <v>0</v>
      </c>
      <c r="M193" s="54">
        <v>0</v>
      </c>
      <c r="N193" s="54">
        <v>0</v>
      </c>
      <c r="O193" s="54">
        <v>0</v>
      </c>
      <c r="P193" s="54">
        <v>0</v>
      </c>
      <c r="Q193" s="54">
        <v>0</v>
      </c>
      <c r="R193" s="54">
        <v>0</v>
      </c>
      <c r="S193" s="54">
        <v>0</v>
      </c>
      <c r="T193" s="54">
        <v>0</v>
      </c>
      <c r="U193" s="54">
        <v>0</v>
      </c>
      <c r="V193" s="54">
        <v>0</v>
      </c>
      <c r="W193" s="54">
        <v>0</v>
      </c>
      <c r="X193" s="54">
        <v>0</v>
      </c>
      <c r="Y193" s="54">
        <v>0</v>
      </c>
      <c r="Z193" s="54">
        <v>0</v>
      </c>
      <c r="AA193" s="54">
        <v>0</v>
      </c>
      <c r="AB193" s="54">
        <v>0</v>
      </c>
      <c r="AC193" s="54">
        <v>0</v>
      </c>
      <c r="AD193" s="54">
        <v>0</v>
      </c>
      <c r="AE193" s="54">
        <v>0</v>
      </c>
    </row>
    <row r="194" spans="1:31" x14ac:dyDescent="0.35">
      <c r="A194" s="57">
        <v>191</v>
      </c>
      <c r="D194" s="46" t="s">
        <v>25</v>
      </c>
      <c r="E194" s="46" t="s">
        <v>26</v>
      </c>
      <c r="F194" s="54">
        <v>94.106870522358633</v>
      </c>
      <c r="G194" s="54">
        <v>121.5840275196459</v>
      </c>
      <c r="H194" s="54">
        <v>143.79828110662913</v>
      </c>
      <c r="I194" s="54">
        <v>186.02987236990268</v>
      </c>
      <c r="J194" s="54">
        <v>150.4373049674538</v>
      </c>
      <c r="K194" s="54">
        <v>171.95577348934447</v>
      </c>
      <c r="L194" s="54">
        <v>181.71602262458342</v>
      </c>
      <c r="M194" s="54">
        <v>197.04480788421085</v>
      </c>
      <c r="N194" s="54">
        <v>199.97240830506439</v>
      </c>
      <c r="O194" s="54">
        <v>183.89084523257699</v>
      </c>
      <c r="P194" s="54">
        <v>188.64553984308461</v>
      </c>
      <c r="Q194" s="54">
        <v>276.25550488095968</v>
      </c>
      <c r="R194" s="54">
        <v>275.6405052783756</v>
      </c>
      <c r="S194" s="54">
        <v>290.12025029213487</v>
      </c>
      <c r="T194" s="54">
        <v>217.50014040061899</v>
      </c>
      <c r="U194" s="54">
        <v>226.15962786950104</v>
      </c>
      <c r="V194" s="54">
        <v>388.802406425014</v>
      </c>
      <c r="W194" s="54">
        <v>391.27093410343736</v>
      </c>
      <c r="X194" s="54">
        <v>448.32204541540074</v>
      </c>
      <c r="Y194" s="54">
        <v>478.35225601591975</v>
      </c>
      <c r="Z194" s="54">
        <v>471.20556338626864</v>
      </c>
      <c r="AA194" s="54">
        <v>484.20039936291641</v>
      </c>
      <c r="AB194" s="54">
        <v>509.45884835554091</v>
      </c>
      <c r="AC194" s="54">
        <v>526.18755857597387</v>
      </c>
      <c r="AD194" s="54">
        <v>543.29522135920104</v>
      </c>
      <c r="AE194" s="54">
        <v>550.18080352179118</v>
      </c>
    </row>
    <row r="195" spans="1:31" ht="15.5" x14ac:dyDescent="0.35">
      <c r="A195" s="57">
        <v>192</v>
      </c>
      <c r="D195" s="45" t="s">
        <v>15</v>
      </c>
      <c r="E195" s="45" t="s">
        <v>17</v>
      </c>
      <c r="F195" s="52">
        <v>586.2578631363192</v>
      </c>
      <c r="G195" s="52">
        <v>321.78448142045926</v>
      </c>
      <c r="H195" s="52">
        <v>409.3301566900642</v>
      </c>
      <c r="I195" s="52">
        <v>393.59809254631921</v>
      </c>
      <c r="J195" s="52">
        <v>318.29208679594012</v>
      </c>
      <c r="K195" s="52">
        <v>383.19231518738576</v>
      </c>
      <c r="L195" s="52">
        <v>407.14941494274888</v>
      </c>
      <c r="M195" s="52">
        <v>417.28985371496884</v>
      </c>
      <c r="N195" s="52">
        <v>383.04148287838467</v>
      </c>
      <c r="O195" s="52">
        <v>409.78885033367573</v>
      </c>
      <c r="P195" s="52">
        <v>422.67555755031208</v>
      </c>
      <c r="Q195" s="52">
        <v>450.52753553989811</v>
      </c>
      <c r="R195" s="52">
        <v>456.19534454565411</v>
      </c>
      <c r="S195" s="52">
        <v>480.15986405200897</v>
      </c>
      <c r="T195" s="52">
        <v>484.68498999749619</v>
      </c>
      <c r="U195" s="52">
        <v>503.98209752812932</v>
      </c>
      <c r="V195" s="52">
        <v>529.37509461593118</v>
      </c>
      <c r="W195" s="52">
        <v>524.66634400453859</v>
      </c>
      <c r="X195" s="52">
        <v>587.82434087750846</v>
      </c>
      <c r="Y195" s="52">
        <v>597.63399860623304</v>
      </c>
      <c r="Z195" s="52">
        <v>589.06922290013006</v>
      </c>
      <c r="AA195" s="52">
        <v>624.00371293951991</v>
      </c>
      <c r="AB195" s="52">
        <v>627.72002054225686</v>
      </c>
      <c r="AC195" s="52">
        <v>656.79626895962645</v>
      </c>
      <c r="AD195" s="52">
        <v>663.13805808378368</v>
      </c>
      <c r="AE195" s="52">
        <v>671.54249715220226</v>
      </c>
    </row>
    <row r="196" spans="1:31" ht="9" customHeight="1" x14ac:dyDescent="0.35">
      <c r="A196" s="57">
        <v>193</v>
      </c>
      <c r="D196" s="49"/>
      <c r="E196" s="49"/>
      <c r="F196" s="51">
        <v>0</v>
      </c>
      <c r="G196" s="51">
        <v>0</v>
      </c>
      <c r="H196" s="51">
        <v>0</v>
      </c>
      <c r="I196" s="51">
        <v>0</v>
      </c>
      <c r="J196" s="51">
        <v>0</v>
      </c>
      <c r="K196" s="51">
        <v>0</v>
      </c>
      <c r="L196" s="51">
        <v>0</v>
      </c>
      <c r="M196" s="51">
        <v>0</v>
      </c>
      <c r="N196" s="51">
        <v>0</v>
      </c>
      <c r="O196" s="51">
        <v>0</v>
      </c>
      <c r="P196" s="51">
        <v>0</v>
      </c>
      <c r="Q196" s="51">
        <v>0</v>
      </c>
      <c r="R196" s="51">
        <v>0</v>
      </c>
      <c r="S196" s="51">
        <v>0</v>
      </c>
      <c r="T196" s="51">
        <v>0</v>
      </c>
      <c r="U196" s="51">
        <v>0</v>
      </c>
      <c r="V196" s="51">
        <v>0</v>
      </c>
      <c r="W196" s="51">
        <v>0</v>
      </c>
      <c r="X196" s="51">
        <v>0</v>
      </c>
      <c r="Y196" s="51">
        <v>0</v>
      </c>
      <c r="Z196" s="51">
        <v>0</v>
      </c>
      <c r="AA196" s="51">
        <v>0</v>
      </c>
      <c r="AB196" s="51">
        <v>0</v>
      </c>
      <c r="AC196" s="51">
        <v>0</v>
      </c>
      <c r="AD196" s="51">
        <v>0</v>
      </c>
      <c r="AE196" s="51">
        <v>0</v>
      </c>
    </row>
    <row r="197" spans="1:31" ht="35.15" customHeight="1" x14ac:dyDescent="0.45">
      <c r="A197" s="57">
        <v>194</v>
      </c>
      <c r="B197" s="50" t="s">
        <v>29</v>
      </c>
      <c r="C197" s="42"/>
      <c r="D197" s="42"/>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row>
    <row r="198" spans="1:31" ht="26.15" customHeight="1" x14ac:dyDescent="0.45">
      <c r="A198" s="57">
        <v>195</v>
      </c>
      <c r="B198" s="42"/>
      <c r="C198" s="44" t="s">
        <v>7</v>
      </c>
      <c r="D198" s="44"/>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row>
    <row r="199" spans="1:31" ht="18" customHeight="1" x14ac:dyDescent="0.35">
      <c r="A199" s="57">
        <v>196</v>
      </c>
      <c r="D199" s="45" t="s">
        <v>9</v>
      </c>
      <c r="E199" s="45" t="s">
        <v>30</v>
      </c>
      <c r="F199" s="52">
        <f t="shared" ref="F199:K199" si="182">F200+F201+F205+F206</f>
        <v>7162.5083015599994</v>
      </c>
      <c r="G199" s="52">
        <f t="shared" si="182"/>
        <v>21650.765177919999</v>
      </c>
      <c r="H199" s="52">
        <f t="shared" si="182"/>
        <v>22717.394489039998</v>
      </c>
      <c r="I199" s="52">
        <f t="shared" si="182"/>
        <v>23628.463451939999</v>
      </c>
      <c r="J199" s="52">
        <f t="shared" si="182"/>
        <v>23849.537278580003</v>
      </c>
      <c r="K199" s="52">
        <f t="shared" si="182"/>
        <v>24694.157605479999</v>
      </c>
      <c r="L199" s="52">
        <f t="shared" ref="L199:AB199" si="183">L200+L201+L205+L206</f>
        <v>26932.494036190001</v>
      </c>
      <c r="M199" s="52">
        <f t="shared" si="183"/>
        <v>28688.508719049994</v>
      </c>
      <c r="N199" s="52">
        <f t="shared" si="183"/>
        <v>29616.227159870006</v>
      </c>
      <c r="O199" s="52">
        <f t="shared" si="183"/>
        <v>32039.601372280002</v>
      </c>
      <c r="P199" s="52">
        <f t="shared" si="183"/>
        <v>34676.432860790002</v>
      </c>
      <c r="Q199" s="52">
        <f t="shared" si="183"/>
        <v>32855.324275999992</v>
      </c>
      <c r="R199" s="52">
        <f t="shared" si="183"/>
        <v>33595.480756500001</v>
      </c>
      <c r="S199" s="52">
        <f t="shared" si="183"/>
        <v>32639.934222010004</v>
      </c>
      <c r="T199" s="52">
        <f t="shared" si="183"/>
        <v>32491.432846400003</v>
      </c>
      <c r="U199" s="52">
        <f t="shared" si="183"/>
        <v>33436.938642469999</v>
      </c>
      <c r="V199" s="52">
        <f t="shared" si="183"/>
        <v>34914.899485119997</v>
      </c>
      <c r="W199" s="52">
        <f t="shared" si="183"/>
        <v>35408.631262770003</v>
      </c>
      <c r="X199" s="52">
        <f t="shared" si="183"/>
        <v>37169.448539270001</v>
      </c>
      <c r="Y199" s="52">
        <f t="shared" si="183"/>
        <v>40374.104731939995</v>
      </c>
      <c r="Z199" s="52">
        <f t="shared" si="183"/>
        <v>40066.323780430001</v>
      </c>
      <c r="AA199" s="52">
        <f t="shared" si="183"/>
        <v>40689.5471002001</v>
      </c>
      <c r="AB199" s="52">
        <f t="shared" si="183"/>
        <v>41514.942450300739</v>
      </c>
      <c r="AC199" s="52">
        <f t="shared" ref="AC199" si="184">AC200+AC201+AC205+AC206</f>
        <v>43912.065354300939</v>
      </c>
      <c r="AD199" s="52">
        <v>41257.891344312811</v>
      </c>
      <c r="AE199" s="52">
        <v>42215.65622664673</v>
      </c>
    </row>
    <row r="200" spans="1:31" x14ac:dyDescent="0.35">
      <c r="A200" s="57">
        <v>197</v>
      </c>
      <c r="D200" s="46" t="s">
        <v>10</v>
      </c>
      <c r="E200" s="46" t="s">
        <v>18</v>
      </c>
      <c r="F200" s="55">
        <v>134.43963341000017</v>
      </c>
      <c r="G200" s="55">
        <v>118.77425738999955</v>
      </c>
      <c r="H200" s="55">
        <v>245.78937945999496</v>
      </c>
      <c r="I200" s="55">
        <v>680.32761431999825</v>
      </c>
      <c r="J200" s="55">
        <v>1310.9526343500002</v>
      </c>
      <c r="K200" s="55">
        <v>1388.6809552599989</v>
      </c>
      <c r="L200" s="55">
        <v>1406.4597321900001</v>
      </c>
      <c r="M200" s="55">
        <v>1526.1340969199955</v>
      </c>
      <c r="N200" s="55">
        <v>1648.2458720800023</v>
      </c>
      <c r="O200" s="55">
        <v>1759.3324281400019</v>
      </c>
      <c r="P200" s="55">
        <v>1967.6050653499988</v>
      </c>
      <c r="Q200" s="55">
        <v>1523.456067659992</v>
      </c>
      <c r="R200" s="55">
        <v>2272.1963881200027</v>
      </c>
      <c r="S200" s="55">
        <v>2480.9275639700027</v>
      </c>
      <c r="T200" s="55">
        <v>3445.2554702400012</v>
      </c>
      <c r="U200" s="55">
        <v>4117.8061878199987</v>
      </c>
      <c r="V200" s="55">
        <v>4947.3233899099978</v>
      </c>
      <c r="W200" s="55">
        <v>4474.9425386100047</v>
      </c>
      <c r="X200" s="55">
        <v>4149.7341452800028</v>
      </c>
      <c r="Y200" s="55">
        <v>4022.5829477499938</v>
      </c>
      <c r="Z200" s="55">
        <v>4272.4051103599995</v>
      </c>
      <c r="AA200" s="55">
        <v>2624.7642320665182</v>
      </c>
      <c r="AB200" s="55">
        <v>1948.1830097907441</v>
      </c>
      <c r="AC200" s="55">
        <v>5941.7414445913309</v>
      </c>
      <c r="AD200" s="55">
        <v>2396.414692127044</v>
      </c>
      <c r="AE200" s="55">
        <v>1676.1715053609951</v>
      </c>
    </row>
    <row r="201" spans="1:31" x14ac:dyDescent="0.35">
      <c r="A201" s="57">
        <v>198</v>
      </c>
      <c r="D201" s="46" t="s">
        <v>11</v>
      </c>
      <c r="E201" s="46" t="s">
        <v>0</v>
      </c>
      <c r="F201" s="54">
        <f t="shared" ref="F201:K201" si="185">SUM(F202:F204)</f>
        <v>7028.0686681499992</v>
      </c>
      <c r="G201" s="54">
        <f t="shared" si="185"/>
        <v>21531.990920529999</v>
      </c>
      <c r="H201" s="54">
        <f t="shared" si="185"/>
        <v>22471.605109580003</v>
      </c>
      <c r="I201" s="54">
        <f t="shared" si="185"/>
        <v>22948.135837620001</v>
      </c>
      <c r="J201" s="54">
        <f t="shared" si="185"/>
        <v>22538.584644230003</v>
      </c>
      <c r="K201" s="54">
        <f t="shared" si="185"/>
        <v>23305.47665022</v>
      </c>
      <c r="L201" s="54">
        <f t="shared" ref="L201:AB201" si="186">SUM(L202:L204)</f>
        <v>25526.034304000001</v>
      </c>
      <c r="M201" s="54">
        <f t="shared" si="186"/>
        <v>27162.374622129999</v>
      </c>
      <c r="N201" s="54">
        <f t="shared" si="186"/>
        <v>27967.981287790004</v>
      </c>
      <c r="O201" s="54">
        <f t="shared" si="186"/>
        <v>30280.26894414</v>
      </c>
      <c r="P201" s="54">
        <f t="shared" si="186"/>
        <v>32708.827795440004</v>
      </c>
      <c r="Q201" s="54">
        <f t="shared" si="186"/>
        <v>31331.868208340002</v>
      </c>
      <c r="R201" s="54">
        <f t="shared" si="186"/>
        <v>31323.284368379998</v>
      </c>
      <c r="S201" s="54">
        <f t="shared" si="186"/>
        <v>30159.006658040002</v>
      </c>
      <c r="T201" s="54">
        <f t="shared" si="186"/>
        <v>29046.177376160002</v>
      </c>
      <c r="U201" s="54">
        <f t="shared" si="186"/>
        <v>29319.13245465</v>
      </c>
      <c r="V201" s="54">
        <f t="shared" si="186"/>
        <v>29967.576095209999</v>
      </c>
      <c r="W201" s="54">
        <f t="shared" si="186"/>
        <v>30933.688724159998</v>
      </c>
      <c r="X201" s="54">
        <f t="shared" si="186"/>
        <v>33019.714393989998</v>
      </c>
      <c r="Y201" s="54">
        <f t="shared" si="186"/>
        <v>36351.521784190001</v>
      </c>
      <c r="Z201" s="54">
        <f t="shared" si="186"/>
        <v>35793.918670070001</v>
      </c>
      <c r="AA201" s="54">
        <f t="shared" si="186"/>
        <v>38064.782868133581</v>
      </c>
      <c r="AB201" s="54">
        <f t="shared" si="186"/>
        <v>39566.759440509995</v>
      </c>
      <c r="AC201" s="54">
        <f t="shared" ref="AC201" si="187">SUM(AC202:AC204)</f>
        <v>37970.323909709608</v>
      </c>
      <c r="AD201" s="54">
        <v>38861.476652185767</v>
      </c>
      <c r="AE201" s="54">
        <v>40539.484721285735</v>
      </c>
    </row>
    <row r="202" spans="1:31" x14ac:dyDescent="0.35">
      <c r="A202" s="57">
        <v>199</v>
      </c>
      <c r="D202" s="47" t="s">
        <v>21</v>
      </c>
      <c r="E202" s="47" t="s">
        <v>20</v>
      </c>
      <c r="F202" s="55">
        <v>6340.2490525599997</v>
      </c>
      <c r="G202" s="55">
        <v>20733.016130099997</v>
      </c>
      <c r="H202" s="55">
        <v>21617.05548404</v>
      </c>
      <c r="I202" s="55">
        <v>21950.481181939998</v>
      </c>
      <c r="J202" s="55">
        <v>21548.811151580001</v>
      </c>
      <c r="K202" s="55">
        <v>22250.49895148</v>
      </c>
      <c r="L202" s="55">
        <v>24470.700369190003</v>
      </c>
      <c r="M202" s="55">
        <v>26072.832406049998</v>
      </c>
      <c r="N202" s="55">
        <v>26776.872144870002</v>
      </c>
      <c r="O202" s="55">
        <v>29005.044056279999</v>
      </c>
      <c r="P202" s="55">
        <v>31409.057278790002</v>
      </c>
      <c r="Q202" s="55">
        <v>29966.989617710002</v>
      </c>
      <c r="R202" s="55">
        <v>29872.728985499998</v>
      </c>
      <c r="S202" s="55">
        <v>28645.957005010001</v>
      </c>
      <c r="T202" s="55">
        <v>27433.274144400002</v>
      </c>
      <c r="U202" s="55">
        <v>27512.261787470001</v>
      </c>
      <c r="V202" s="55">
        <v>27909.669861120001</v>
      </c>
      <c r="W202" s="55">
        <v>28803.50698577</v>
      </c>
      <c r="X202" s="55">
        <v>30864.241001170001</v>
      </c>
      <c r="Y202" s="55">
        <v>34072.299692039996</v>
      </c>
      <c r="Z202" s="55">
        <v>33388.43085212</v>
      </c>
      <c r="AA202" s="55">
        <v>35571.188515740003</v>
      </c>
      <c r="AB202" s="55">
        <v>36999.518772579999</v>
      </c>
      <c r="AC202" s="55">
        <v>35305.123682049998</v>
      </c>
      <c r="AD202" s="55">
        <v>36130.302588370003</v>
      </c>
      <c r="AE202" s="55">
        <v>37738.455242230004</v>
      </c>
    </row>
    <row r="203" spans="1:31" x14ac:dyDescent="0.35">
      <c r="A203" s="57">
        <v>200</v>
      </c>
      <c r="D203" s="47" t="s">
        <v>12</v>
      </c>
      <c r="E203" s="47" t="s">
        <v>22</v>
      </c>
      <c r="F203" s="55">
        <v>26.228196000000025</v>
      </c>
      <c r="G203" s="55">
        <v>57.933491999999887</v>
      </c>
      <c r="H203" s="55">
        <v>13.695209999999975</v>
      </c>
      <c r="I203" s="55">
        <v>21.359871999999996</v>
      </c>
      <c r="J203" s="55">
        <v>2.1930459999999812</v>
      </c>
      <c r="K203" s="55">
        <v>1.7998070000001007</v>
      </c>
      <c r="L203" s="55">
        <v>0.64048299999990377</v>
      </c>
      <c r="M203" s="55">
        <v>3.5607030000001032</v>
      </c>
      <c r="N203" s="55">
        <v>22.205437000000074</v>
      </c>
      <c r="O203" s="55">
        <v>28.409930999999915</v>
      </c>
      <c r="P203" s="55">
        <v>9.50941499999999</v>
      </c>
      <c r="Q203" s="55">
        <v>3.7106329999999161</v>
      </c>
      <c r="R203" s="55">
        <v>12.703631999999971</v>
      </c>
      <c r="S203" s="55">
        <v>20.328948999999966</v>
      </c>
      <c r="T203" s="55">
        <v>14.551909999999907</v>
      </c>
      <c r="U203" s="55">
        <v>82.792486000000054</v>
      </c>
      <c r="V203" s="55">
        <v>136.39404200000013</v>
      </c>
      <c r="W203" s="55">
        <v>124.02878799999985</v>
      </c>
      <c r="X203" s="55">
        <v>90.256714000000102</v>
      </c>
      <c r="Y203" s="55">
        <v>52.718045000000075</v>
      </c>
      <c r="Z203" s="55">
        <v>59.143015000000105</v>
      </c>
      <c r="AA203" s="55">
        <v>58.838869000000159</v>
      </c>
      <c r="AB203" s="55">
        <v>37.885615000000143</v>
      </c>
      <c r="AC203" s="55">
        <v>35.746118000000024</v>
      </c>
      <c r="AD203" s="55">
        <v>11.728274000000056</v>
      </c>
      <c r="AE203" s="55">
        <v>9.8479160000001684</v>
      </c>
    </row>
    <row r="204" spans="1:31" x14ac:dyDescent="0.35">
      <c r="A204" s="57">
        <v>201</v>
      </c>
      <c r="D204" s="47" t="s">
        <v>31</v>
      </c>
      <c r="E204" s="47" t="s">
        <v>23</v>
      </c>
      <c r="F204" s="55">
        <v>661.59141958999999</v>
      </c>
      <c r="G204" s="55">
        <v>741.0412984300001</v>
      </c>
      <c r="H204" s="55">
        <v>840.8544155400001</v>
      </c>
      <c r="I204" s="55">
        <v>976.29478368000002</v>
      </c>
      <c r="J204" s="55">
        <v>987.58044665</v>
      </c>
      <c r="K204" s="55">
        <v>1053.17789174</v>
      </c>
      <c r="L204" s="55">
        <v>1054.6934518099999</v>
      </c>
      <c r="M204" s="55">
        <v>1085.98151308</v>
      </c>
      <c r="N204" s="55">
        <v>1168.90370592</v>
      </c>
      <c r="O204" s="55">
        <v>1246.8149568600002</v>
      </c>
      <c r="P204" s="55">
        <v>1290.26110165</v>
      </c>
      <c r="Q204" s="55">
        <v>1361.16795763</v>
      </c>
      <c r="R204" s="55">
        <v>1437.8517508800001</v>
      </c>
      <c r="S204" s="55">
        <v>1492.72070403</v>
      </c>
      <c r="T204" s="55">
        <v>1598.35132176</v>
      </c>
      <c r="U204" s="55">
        <v>1724.07818118</v>
      </c>
      <c r="V204" s="55">
        <v>1921.5121920899999</v>
      </c>
      <c r="W204" s="55">
        <v>2006.1529503899999</v>
      </c>
      <c r="X204" s="55">
        <v>2065.2166788200002</v>
      </c>
      <c r="Y204" s="55">
        <v>2226.5040471500001</v>
      </c>
      <c r="Z204" s="55">
        <v>2346.3448029500005</v>
      </c>
      <c r="AA204" s="55">
        <v>2434.7554833935797</v>
      </c>
      <c r="AB204" s="55">
        <v>2529.3550529299996</v>
      </c>
      <c r="AC204" s="55">
        <v>2629.4541096596085</v>
      </c>
      <c r="AD204" s="55">
        <v>2719.4457898157652</v>
      </c>
      <c r="AE204" s="55">
        <v>2791.1815630557353</v>
      </c>
    </row>
    <row r="205" spans="1:31" x14ac:dyDescent="0.35">
      <c r="A205" s="57">
        <v>202</v>
      </c>
      <c r="D205" s="46" t="s">
        <v>1</v>
      </c>
      <c r="E205" s="46" t="s">
        <v>24</v>
      </c>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row>
    <row r="206" spans="1:31" x14ac:dyDescent="0.35">
      <c r="A206" s="57">
        <v>203</v>
      </c>
      <c r="D206" s="46" t="s">
        <v>25</v>
      </c>
      <c r="E206" s="46" t="s">
        <v>26</v>
      </c>
      <c r="F206" s="54">
        <v>0</v>
      </c>
      <c r="G206" s="54">
        <v>0</v>
      </c>
      <c r="H206" s="54">
        <v>0</v>
      </c>
      <c r="I206" s="54">
        <v>0</v>
      </c>
      <c r="J206" s="54">
        <v>0</v>
      </c>
      <c r="K206" s="54">
        <v>0</v>
      </c>
      <c r="L206" s="54">
        <v>0</v>
      </c>
      <c r="M206" s="54">
        <v>0</v>
      </c>
      <c r="N206" s="54">
        <v>0</v>
      </c>
      <c r="O206" s="54">
        <v>0</v>
      </c>
      <c r="P206" s="54">
        <v>0</v>
      </c>
      <c r="Q206" s="54">
        <v>0</v>
      </c>
      <c r="R206" s="54">
        <v>0</v>
      </c>
      <c r="S206" s="54">
        <v>0</v>
      </c>
      <c r="T206" s="54">
        <v>0</v>
      </c>
      <c r="U206" s="54">
        <v>0</v>
      </c>
      <c r="V206" s="54">
        <v>0</v>
      </c>
      <c r="W206" s="54">
        <v>0</v>
      </c>
      <c r="X206" s="54">
        <v>0</v>
      </c>
      <c r="Y206" s="54">
        <v>0</v>
      </c>
      <c r="Z206" s="54">
        <v>0</v>
      </c>
      <c r="AA206" s="54">
        <v>0</v>
      </c>
      <c r="AB206" s="54">
        <v>0</v>
      </c>
      <c r="AC206" s="54">
        <v>0</v>
      </c>
      <c r="AD206" s="54">
        <v>0</v>
      </c>
      <c r="AE206" s="54">
        <v>0</v>
      </c>
    </row>
    <row r="207" spans="1:31" ht="15.5" x14ac:dyDescent="0.35">
      <c r="A207" s="57">
        <v>204</v>
      </c>
      <c r="D207" s="45" t="s">
        <v>15</v>
      </c>
      <c r="E207" s="45" t="s">
        <v>17</v>
      </c>
      <c r="F207" s="52">
        <v>1.3760950000000001</v>
      </c>
      <c r="G207" s="52">
        <v>9.1914440000000006</v>
      </c>
      <c r="H207" s="52">
        <v>15.048176000000002</v>
      </c>
      <c r="I207" s="52">
        <v>4.1142479999999999</v>
      </c>
      <c r="J207" s="52">
        <v>0.34418599999999999</v>
      </c>
      <c r="K207" s="52">
        <v>3.4524710000000001</v>
      </c>
      <c r="L207" s="52">
        <v>3.4455200000000001</v>
      </c>
      <c r="M207" s="52">
        <v>4.7478199999999999</v>
      </c>
      <c r="N207" s="52">
        <v>4.6479420000000005</v>
      </c>
      <c r="O207" s="52">
        <v>4.6821060000000001</v>
      </c>
      <c r="P207" s="52">
        <v>1.43804</v>
      </c>
      <c r="Q207" s="52">
        <v>2.1195240000000002</v>
      </c>
      <c r="R207" s="52">
        <v>2.1294240000000002</v>
      </c>
      <c r="S207" s="52">
        <v>2.0154529999999999</v>
      </c>
      <c r="T207" s="52">
        <v>2.1033759999999999</v>
      </c>
      <c r="U207" s="52">
        <v>11.281744</v>
      </c>
      <c r="V207" s="52">
        <v>13.027372000000002</v>
      </c>
      <c r="W207" s="52">
        <v>11.595654</v>
      </c>
      <c r="X207" s="52">
        <v>11.514761999999999</v>
      </c>
      <c r="Y207" s="52">
        <v>9.9854150000000015</v>
      </c>
      <c r="Z207" s="52">
        <v>8.1809139999999996</v>
      </c>
      <c r="AA207" s="52">
        <v>7.7637559999999999</v>
      </c>
      <c r="AB207" s="52">
        <v>8.4264889999999983</v>
      </c>
      <c r="AC207" s="52">
        <v>7.8412500000000005</v>
      </c>
      <c r="AD207" s="52">
        <v>9.0547589999999989</v>
      </c>
      <c r="AE207" s="52">
        <v>9.0245499999999996</v>
      </c>
    </row>
    <row r="208" spans="1:31" ht="17.25" customHeight="1" x14ac:dyDescent="0.35">
      <c r="A208" s="57">
        <v>205</v>
      </c>
      <c r="D208" s="49"/>
      <c r="E208" s="49"/>
      <c r="F208" s="51">
        <v>0</v>
      </c>
      <c r="G208" s="51">
        <v>0</v>
      </c>
      <c r="H208" s="51">
        <v>0</v>
      </c>
      <c r="I208" s="51">
        <v>0</v>
      </c>
      <c r="J208" s="51">
        <v>0</v>
      </c>
      <c r="K208" s="51">
        <v>0</v>
      </c>
      <c r="L208" s="51">
        <v>0</v>
      </c>
      <c r="M208" s="51">
        <v>0</v>
      </c>
      <c r="N208" s="51">
        <v>0</v>
      </c>
      <c r="O208" s="51">
        <v>0</v>
      </c>
      <c r="P208" s="51">
        <v>0</v>
      </c>
      <c r="Q208" s="51">
        <v>0</v>
      </c>
      <c r="R208" s="51">
        <v>0</v>
      </c>
      <c r="S208" s="51">
        <v>0</v>
      </c>
      <c r="T208" s="51">
        <v>0</v>
      </c>
      <c r="U208" s="51">
        <v>0</v>
      </c>
      <c r="V208" s="51">
        <v>0</v>
      </c>
      <c r="W208" s="51">
        <v>0</v>
      </c>
      <c r="X208" s="51">
        <v>0</v>
      </c>
      <c r="Y208" s="51">
        <v>0</v>
      </c>
      <c r="Z208" s="51">
        <v>0</v>
      </c>
      <c r="AA208" s="51">
        <v>0</v>
      </c>
      <c r="AB208" s="51">
        <v>0</v>
      </c>
      <c r="AC208" s="51">
        <v>0</v>
      </c>
      <c r="AD208" s="51">
        <v>0</v>
      </c>
      <c r="AE208" s="51">
        <v>0</v>
      </c>
    </row>
    <row r="209" spans="1:31" ht="26.15" customHeight="1" x14ac:dyDescent="0.45">
      <c r="A209" s="57">
        <v>206</v>
      </c>
      <c r="B209" s="42"/>
      <c r="C209" s="44" t="s">
        <v>2</v>
      </c>
      <c r="D209" s="44"/>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row>
    <row r="210" spans="1:31" ht="18" customHeight="1" x14ac:dyDescent="0.35">
      <c r="A210" s="57">
        <v>207</v>
      </c>
      <c r="D210" s="45" t="s">
        <v>9</v>
      </c>
      <c r="E210" s="45" t="s">
        <v>30</v>
      </c>
      <c r="F210" s="52">
        <f t="shared" ref="F210:K210" si="188">F211+F212+F216+F217</f>
        <v>394.42157323629999</v>
      </c>
      <c r="G210" s="52">
        <f t="shared" si="188"/>
        <v>76.619903983899988</v>
      </c>
      <c r="H210" s="52">
        <f t="shared" si="188"/>
        <v>29.417822000000001</v>
      </c>
      <c r="I210" s="52">
        <f t="shared" si="188"/>
        <v>37.563891000000005</v>
      </c>
      <c r="J210" s="52">
        <f t="shared" si="188"/>
        <v>42.796659999999996</v>
      </c>
      <c r="K210" s="52">
        <f t="shared" si="188"/>
        <v>37.238991999999996</v>
      </c>
      <c r="L210" s="52">
        <f t="shared" ref="L210:AB210" si="189">L211+L212+L216+L217</f>
        <v>187.33979099999999</v>
      </c>
      <c r="M210" s="52">
        <f t="shared" si="189"/>
        <v>280.29737499999999</v>
      </c>
      <c r="N210" s="52">
        <f t="shared" si="189"/>
        <v>451.955265</v>
      </c>
      <c r="O210" s="52">
        <f t="shared" si="189"/>
        <v>501.92920899999996</v>
      </c>
      <c r="P210" s="52">
        <f t="shared" si="189"/>
        <v>494.544352</v>
      </c>
      <c r="Q210" s="52">
        <f t="shared" si="189"/>
        <v>447.68610999999999</v>
      </c>
      <c r="R210" s="52">
        <f t="shared" si="189"/>
        <v>687.869867</v>
      </c>
      <c r="S210" s="52">
        <f t="shared" si="189"/>
        <v>707.49506500000007</v>
      </c>
      <c r="T210" s="52">
        <f t="shared" si="189"/>
        <v>688.92698800000005</v>
      </c>
      <c r="U210" s="52">
        <f t="shared" si="189"/>
        <v>698.71999700000003</v>
      </c>
      <c r="V210" s="52">
        <f t="shared" si="189"/>
        <v>713.15483500000005</v>
      </c>
      <c r="W210" s="52">
        <f t="shared" si="189"/>
        <v>694.12748399999998</v>
      </c>
      <c r="X210" s="52">
        <f t="shared" si="189"/>
        <v>676.35495578000007</v>
      </c>
      <c r="Y210" s="52">
        <f t="shared" si="189"/>
        <v>657.49470534999989</v>
      </c>
      <c r="Z210" s="52">
        <f t="shared" si="189"/>
        <v>922.59922619999998</v>
      </c>
      <c r="AA210" s="52">
        <f t="shared" si="189"/>
        <v>874.01258078000012</v>
      </c>
      <c r="AB210" s="52">
        <f t="shared" si="189"/>
        <v>829.02275971999995</v>
      </c>
      <c r="AC210" s="52">
        <f t="shared" ref="AC210" si="190">AC211+AC212+AC216+AC217</f>
        <v>800.65211546</v>
      </c>
      <c r="AD210" s="52">
        <v>1089.8872914999999</v>
      </c>
      <c r="AE210" s="52">
        <v>1017.42463384</v>
      </c>
    </row>
    <row r="211" spans="1:31" x14ac:dyDescent="0.35">
      <c r="A211" s="57">
        <v>208</v>
      </c>
      <c r="D211" s="46" t="s">
        <v>10</v>
      </c>
      <c r="E211" s="46" t="s">
        <v>18</v>
      </c>
      <c r="F211" s="54">
        <v>0</v>
      </c>
      <c r="G211" s="54">
        <v>0</v>
      </c>
      <c r="H211" s="54">
        <v>0</v>
      </c>
      <c r="I211" s="54">
        <v>0</v>
      </c>
      <c r="J211" s="54">
        <v>0</v>
      </c>
      <c r="K211" s="54">
        <v>0</v>
      </c>
      <c r="L211" s="54">
        <v>0</v>
      </c>
      <c r="M211" s="54">
        <v>0</v>
      </c>
      <c r="N211" s="54">
        <v>0</v>
      </c>
      <c r="O211" s="54">
        <v>0</v>
      </c>
      <c r="P211" s="54">
        <v>0</v>
      </c>
      <c r="Q211" s="54">
        <v>0</v>
      </c>
      <c r="R211" s="54">
        <v>0</v>
      </c>
      <c r="S211" s="54">
        <v>0</v>
      </c>
      <c r="T211" s="54">
        <v>0</v>
      </c>
      <c r="U211" s="54">
        <v>0</v>
      </c>
      <c r="V211" s="54">
        <v>0</v>
      </c>
      <c r="W211" s="54">
        <v>0</v>
      </c>
      <c r="X211" s="54">
        <v>0</v>
      </c>
      <c r="Y211" s="54">
        <v>0</v>
      </c>
      <c r="Z211" s="54">
        <v>0</v>
      </c>
      <c r="AA211" s="54">
        <v>0</v>
      </c>
      <c r="AB211" s="54">
        <v>0</v>
      </c>
      <c r="AC211" s="54">
        <v>0</v>
      </c>
      <c r="AD211" s="54">
        <v>0</v>
      </c>
      <c r="AE211" s="54">
        <v>0</v>
      </c>
    </row>
    <row r="212" spans="1:31" x14ac:dyDescent="0.35">
      <c r="A212" s="57">
        <v>209</v>
      </c>
      <c r="D212" s="46" t="s">
        <v>11</v>
      </c>
      <c r="E212" s="46" t="s">
        <v>0</v>
      </c>
      <c r="F212" s="54">
        <f t="shared" ref="F212:K212" si="191">SUM(F213:F215)</f>
        <v>394.42157323629999</v>
      </c>
      <c r="G212" s="54">
        <f t="shared" si="191"/>
        <v>76.619903983899988</v>
      </c>
      <c r="H212" s="54">
        <f t="shared" si="191"/>
        <v>29.417822000000001</v>
      </c>
      <c r="I212" s="54">
        <f t="shared" si="191"/>
        <v>37.563891000000005</v>
      </c>
      <c r="J212" s="54">
        <f t="shared" si="191"/>
        <v>42.796659999999996</v>
      </c>
      <c r="K212" s="54">
        <f t="shared" si="191"/>
        <v>37.238991999999996</v>
      </c>
      <c r="L212" s="54">
        <f t="shared" ref="L212:AB212" si="192">SUM(L213:L215)</f>
        <v>187.33979099999999</v>
      </c>
      <c r="M212" s="54">
        <f t="shared" si="192"/>
        <v>280.29737499999999</v>
      </c>
      <c r="N212" s="54">
        <f t="shared" si="192"/>
        <v>451.955265</v>
      </c>
      <c r="O212" s="54">
        <f t="shared" si="192"/>
        <v>501.92920899999996</v>
      </c>
      <c r="P212" s="54">
        <f t="shared" si="192"/>
        <v>494.544352</v>
      </c>
      <c r="Q212" s="54">
        <f t="shared" si="192"/>
        <v>447.68610999999999</v>
      </c>
      <c r="R212" s="54">
        <f t="shared" si="192"/>
        <v>687.869867</v>
      </c>
      <c r="S212" s="54">
        <f t="shared" si="192"/>
        <v>707.49506500000007</v>
      </c>
      <c r="T212" s="54">
        <f t="shared" si="192"/>
        <v>688.92698800000005</v>
      </c>
      <c r="U212" s="54">
        <f t="shared" si="192"/>
        <v>698.71999700000003</v>
      </c>
      <c r="V212" s="54">
        <f t="shared" si="192"/>
        <v>713.15483500000005</v>
      </c>
      <c r="W212" s="54">
        <f t="shared" si="192"/>
        <v>694.12748399999998</v>
      </c>
      <c r="X212" s="54">
        <f t="shared" si="192"/>
        <v>676.35495578000007</v>
      </c>
      <c r="Y212" s="54">
        <f t="shared" si="192"/>
        <v>657.49470534999989</v>
      </c>
      <c r="Z212" s="54">
        <f t="shared" si="192"/>
        <v>922.59922619999998</v>
      </c>
      <c r="AA212" s="54">
        <f t="shared" si="192"/>
        <v>874.01258078000012</v>
      </c>
      <c r="AB212" s="54">
        <f t="shared" si="192"/>
        <v>829.02275971999995</v>
      </c>
      <c r="AC212" s="54">
        <f t="shared" ref="AC212" si="193">SUM(AC213:AC215)</f>
        <v>800.65211546</v>
      </c>
      <c r="AD212" s="54">
        <v>1089.8872914999999</v>
      </c>
      <c r="AE212" s="54">
        <v>1017.42463384</v>
      </c>
    </row>
    <row r="213" spans="1:31" x14ac:dyDescent="0.35">
      <c r="A213" s="57">
        <v>210</v>
      </c>
      <c r="D213" s="47" t="s">
        <v>21</v>
      </c>
      <c r="E213" s="47" t="s">
        <v>20</v>
      </c>
      <c r="F213" s="55">
        <v>394.42157323629999</v>
      </c>
      <c r="G213" s="55">
        <v>76.619903983899988</v>
      </c>
      <c r="H213" s="55">
        <v>29.417822000000001</v>
      </c>
      <c r="I213" s="55">
        <v>37.563891000000005</v>
      </c>
      <c r="J213" s="55">
        <v>42.796659999999996</v>
      </c>
      <c r="K213" s="55">
        <v>37.238991999999996</v>
      </c>
      <c r="L213" s="55">
        <v>187.33979099999999</v>
      </c>
      <c r="M213" s="55">
        <v>280.29737499999999</v>
      </c>
      <c r="N213" s="55">
        <v>451.955265</v>
      </c>
      <c r="O213" s="55">
        <v>501.92920899999996</v>
      </c>
      <c r="P213" s="55">
        <v>494.544352</v>
      </c>
      <c r="Q213" s="55">
        <v>447.68610999999999</v>
      </c>
      <c r="R213" s="55">
        <v>687.869867</v>
      </c>
      <c r="S213" s="55">
        <v>707.49506500000007</v>
      </c>
      <c r="T213" s="55">
        <v>688.92698800000005</v>
      </c>
      <c r="U213" s="55">
        <v>698.71999700000003</v>
      </c>
      <c r="V213" s="55">
        <v>713.15483500000005</v>
      </c>
      <c r="W213" s="55">
        <v>694.12748399999998</v>
      </c>
      <c r="X213" s="55">
        <v>676.35474178000004</v>
      </c>
      <c r="Y213" s="55">
        <v>657.49470534999989</v>
      </c>
      <c r="Z213" s="55">
        <v>922.59922619999998</v>
      </c>
      <c r="AA213" s="55">
        <v>874.01258078000012</v>
      </c>
      <c r="AB213" s="55">
        <v>829.02275971999995</v>
      </c>
      <c r="AC213" s="55">
        <v>800.65211546</v>
      </c>
      <c r="AD213" s="55">
        <v>1089.8872914999999</v>
      </c>
      <c r="AE213" s="55">
        <v>1017.42463384</v>
      </c>
    </row>
    <row r="214" spans="1:31" x14ac:dyDescent="0.35">
      <c r="A214" s="57">
        <v>211</v>
      </c>
      <c r="D214" s="47" t="s">
        <v>12</v>
      </c>
      <c r="E214" s="47" t="s">
        <v>22</v>
      </c>
      <c r="F214" s="55">
        <v>0</v>
      </c>
      <c r="G214" s="55">
        <v>0</v>
      </c>
      <c r="H214" s="55">
        <v>0</v>
      </c>
      <c r="I214" s="55">
        <v>0</v>
      </c>
      <c r="J214" s="55">
        <v>0</v>
      </c>
      <c r="K214" s="55">
        <v>0</v>
      </c>
      <c r="L214" s="55">
        <v>0</v>
      </c>
      <c r="M214" s="55">
        <v>0</v>
      </c>
      <c r="N214" s="55">
        <v>0</v>
      </c>
      <c r="O214" s="55">
        <v>0</v>
      </c>
      <c r="P214" s="55">
        <v>0</v>
      </c>
      <c r="Q214" s="55">
        <v>0</v>
      </c>
      <c r="R214" s="55">
        <v>0</v>
      </c>
      <c r="S214" s="55">
        <v>0</v>
      </c>
      <c r="T214" s="55">
        <v>0</v>
      </c>
      <c r="U214" s="55">
        <v>0</v>
      </c>
      <c r="V214" s="55">
        <v>0</v>
      </c>
      <c r="W214" s="55">
        <v>0</v>
      </c>
      <c r="X214" s="55">
        <v>2.14E-4</v>
      </c>
      <c r="Y214" s="55">
        <v>0</v>
      </c>
      <c r="Z214" s="55">
        <v>0</v>
      </c>
      <c r="AA214" s="55">
        <v>0</v>
      </c>
      <c r="AB214" s="55">
        <v>0</v>
      </c>
      <c r="AC214" s="55">
        <v>0</v>
      </c>
      <c r="AD214" s="55">
        <v>0</v>
      </c>
      <c r="AE214" s="55">
        <v>0</v>
      </c>
    </row>
    <row r="215" spans="1:31" x14ac:dyDescent="0.35">
      <c r="A215" s="57">
        <v>212</v>
      </c>
      <c r="D215" s="47" t="s">
        <v>31</v>
      </c>
      <c r="E215" s="47" t="s">
        <v>23</v>
      </c>
      <c r="F215" s="55">
        <v>0</v>
      </c>
      <c r="G215" s="55">
        <v>0</v>
      </c>
      <c r="H215" s="55">
        <v>0</v>
      </c>
      <c r="I215" s="55">
        <v>0</v>
      </c>
      <c r="J215" s="55">
        <v>0</v>
      </c>
      <c r="K215" s="55">
        <v>0</v>
      </c>
      <c r="L215" s="55">
        <v>0</v>
      </c>
      <c r="M215" s="55">
        <v>0</v>
      </c>
      <c r="N215" s="55">
        <v>0</v>
      </c>
      <c r="O215" s="55">
        <v>0</v>
      </c>
      <c r="P215" s="55">
        <v>0</v>
      </c>
      <c r="Q215" s="55">
        <v>0</v>
      </c>
      <c r="R215" s="55">
        <v>0</v>
      </c>
      <c r="S215" s="55">
        <v>0</v>
      </c>
      <c r="T215" s="55">
        <v>0</v>
      </c>
      <c r="U215" s="55">
        <v>0</v>
      </c>
      <c r="V215" s="55">
        <v>0</v>
      </c>
      <c r="W215" s="55">
        <v>0</v>
      </c>
      <c r="X215" s="55">
        <v>0</v>
      </c>
      <c r="Y215" s="55">
        <v>0</v>
      </c>
      <c r="Z215" s="55">
        <v>0</v>
      </c>
      <c r="AA215" s="55">
        <v>0</v>
      </c>
      <c r="AB215" s="55">
        <v>0</v>
      </c>
      <c r="AC215" s="55">
        <v>0</v>
      </c>
      <c r="AD215" s="55">
        <v>0</v>
      </c>
      <c r="AE215" s="55">
        <v>0</v>
      </c>
    </row>
    <row r="216" spans="1:31" x14ac:dyDescent="0.35">
      <c r="A216" s="57">
        <v>213</v>
      </c>
      <c r="D216" s="46" t="s">
        <v>1</v>
      </c>
      <c r="E216" s="46" t="s">
        <v>24</v>
      </c>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row>
    <row r="217" spans="1:31" x14ac:dyDescent="0.35">
      <c r="A217" s="57">
        <v>214</v>
      </c>
      <c r="D217" s="46" t="s">
        <v>25</v>
      </c>
      <c r="E217" s="46" t="s">
        <v>26</v>
      </c>
      <c r="F217" s="54">
        <v>0</v>
      </c>
      <c r="G217" s="54">
        <v>0</v>
      </c>
      <c r="H217" s="54">
        <v>0</v>
      </c>
      <c r="I217" s="54">
        <v>0</v>
      </c>
      <c r="J217" s="54">
        <v>0</v>
      </c>
      <c r="K217" s="54">
        <v>0</v>
      </c>
      <c r="L217" s="54">
        <v>0</v>
      </c>
      <c r="M217" s="54">
        <v>0</v>
      </c>
      <c r="N217" s="54">
        <v>0</v>
      </c>
      <c r="O217" s="54">
        <v>0</v>
      </c>
      <c r="P217" s="54">
        <v>0</v>
      </c>
      <c r="Q217" s="54">
        <v>0</v>
      </c>
      <c r="R217" s="54">
        <v>0</v>
      </c>
      <c r="S217" s="54">
        <v>0</v>
      </c>
      <c r="T217" s="54">
        <v>0</v>
      </c>
      <c r="U217" s="54">
        <v>0</v>
      </c>
      <c r="V217" s="54">
        <v>0</v>
      </c>
      <c r="W217" s="54">
        <v>0</v>
      </c>
      <c r="X217" s="54">
        <v>0</v>
      </c>
      <c r="Y217" s="54">
        <v>0</v>
      </c>
      <c r="Z217" s="54">
        <v>0</v>
      </c>
      <c r="AA217" s="54">
        <v>0</v>
      </c>
      <c r="AB217" s="54">
        <v>0</v>
      </c>
      <c r="AC217" s="54">
        <v>0</v>
      </c>
      <c r="AD217" s="54">
        <v>0</v>
      </c>
      <c r="AE217" s="54">
        <v>0</v>
      </c>
    </row>
    <row r="218" spans="1:31" ht="15.5" x14ac:dyDescent="0.35">
      <c r="A218" s="57">
        <v>215</v>
      </c>
      <c r="D218" s="45" t="s">
        <v>15</v>
      </c>
      <c r="E218" s="45" t="s">
        <v>17</v>
      </c>
      <c r="F218" s="52">
        <v>23402.264740000002</v>
      </c>
      <c r="G218" s="52">
        <v>26444.783458000002</v>
      </c>
      <c r="H218" s="52">
        <v>26581.063886000004</v>
      </c>
      <c r="I218" s="52">
        <v>26449.300403000005</v>
      </c>
      <c r="J218" s="52">
        <v>26763.214988</v>
      </c>
      <c r="K218" s="52">
        <v>27579.792020000001</v>
      </c>
      <c r="L218" s="52">
        <v>30847.568283999997</v>
      </c>
      <c r="M218" s="52">
        <v>31479.911814999999</v>
      </c>
      <c r="N218" s="52">
        <v>35897.605380000001</v>
      </c>
      <c r="O218" s="52">
        <v>36643.061960999999</v>
      </c>
      <c r="P218" s="52">
        <v>38496.870065000003</v>
      </c>
      <c r="Q218" s="52">
        <v>36928.290025000002</v>
      </c>
      <c r="R218" s="52">
        <v>39222.393012000008</v>
      </c>
      <c r="S218" s="52">
        <v>39752.062079999996</v>
      </c>
      <c r="T218" s="52">
        <v>42631.415984000007</v>
      </c>
      <c r="U218" s="52">
        <v>44819.883104000008</v>
      </c>
      <c r="V218" s="52">
        <v>53555.526292000002</v>
      </c>
      <c r="W218" s="52">
        <v>55281.636242</v>
      </c>
      <c r="X218" s="52">
        <v>56814.201256</v>
      </c>
      <c r="Y218" s="52">
        <v>52724.080518000002</v>
      </c>
      <c r="Z218" s="52">
        <v>58662.201178000003</v>
      </c>
      <c r="AA218" s="52">
        <v>57949.204130999999</v>
      </c>
      <c r="AB218" s="52">
        <v>57392.278717999994</v>
      </c>
      <c r="AC218" s="52">
        <v>61707.152500000004</v>
      </c>
      <c r="AD218" s="52">
        <v>71406.38384699999</v>
      </c>
      <c r="AE218" s="52">
        <v>70303.229900999999</v>
      </c>
    </row>
    <row r="219" spans="1:31" ht="9" customHeight="1" x14ac:dyDescent="0.35">
      <c r="A219" s="57">
        <v>216</v>
      </c>
      <c r="D219" s="49"/>
      <c r="E219" s="49"/>
      <c r="F219" s="51">
        <v>0</v>
      </c>
      <c r="G219" s="51">
        <v>0</v>
      </c>
      <c r="H219" s="51">
        <v>0</v>
      </c>
      <c r="I219" s="51">
        <v>0</v>
      </c>
      <c r="J219" s="51">
        <v>0</v>
      </c>
      <c r="K219" s="51">
        <v>0</v>
      </c>
      <c r="L219" s="51">
        <v>0</v>
      </c>
      <c r="M219" s="51">
        <v>0</v>
      </c>
      <c r="N219" s="51">
        <v>0</v>
      </c>
      <c r="O219" s="51">
        <v>0</v>
      </c>
      <c r="P219" s="51">
        <v>0</v>
      </c>
      <c r="Q219" s="51">
        <v>0</v>
      </c>
      <c r="R219" s="51">
        <v>0</v>
      </c>
      <c r="S219" s="51">
        <v>0</v>
      </c>
      <c r="T219" s="51">
        <v>0</v>
      </c>
      <c r="U219" s="51">
        <v>0</v>
      </c>
      <c r="V219" s="51">
        <v>0</v>
      </c>
      <c r="W219" s="51">
        <v>0</v>
      </c>
      <c r="X219" s="51">
        <v>0</v>
      </c>
      <c r="Y219" s="51">
        <v>0</v>
      </c>
      <c r="Z219" s="51">
        <v>0</v>
      </c>
      <c r="AA219" s="51">
        <v>0</v>
      </c>
      <c r="AB219" s="51">
        <v>0</v>
      </c>
      <c r="AC219" s="51">
        <v>0</v>
      </c>
      <c r="AD219" s="51">
        <v>0</v>
      </c>
      <c r="AE219" s="51">
        <v>0</v>
      </c>
    </row>
    <row r="220" spans="1:31" ht="35.15" customHeight="1" x14ac:dyDescent="0.45">
      <c r="A220" s="57">
        <v>217</v>
      </c>
      <c r="B220" s="50" t="s">
        <v>32</v>
      </c>
      <c r="C220" s="42"/>
      <c r="D220" s="42"/>
      <c r="F220" s="56"/>
      <c r="G220" s="56"/>
      <c r="H220" s="56"/>
      <c r="I220" s="56"/>
      <c r="J220" s="56"/>
      <c r="K220" s="56"/>
      <c r="L220" s="56"/>
      <c r="M220" s="56"/>
      <c r="N220" s="56"/>
      <c r="O220" s="56"/>
      <c r="P220" s="56"/>
      <c r="Q220" s="56"/>
      <c r="R220" s="56"/>
      <c r="S220" s="56"/>
      <c r="T220" s="56"/>
      <c r="U220" s="99"/>
      <c r="V220" s="99"/>
      <c r="W220" s="56"/>
      <c r="X220" s="56"/>
      <c r="Y220" s="56"/>
      <c r="Z220" s="56"/>
      <c r="AA220" s="56"/>
      <c r="AB220" s="56"/>
      <c r="AC220" s="56"/>
      <c r="AD220" s="56"/>
      <c r="AE220" s="56"/>
    </row>
    <row r="221" spans="1:31" ht="26.15" customHeight="1" x14ac:dyDescent="0.45">
      <c r="A221" s="57">
        <v>218</v>
      </c>
      <c r="B221" s="42"/>
      <c r="C221" s="44" t="s">
        <v>2</v>
      </c>
      <c r="D221" s="44"/>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row>
    <row r="222" spans="1:31" ht="18" customHeight="1" x14ac:dyDescent="0.35">
      <c r="A222" s="57">
        <v>219</v>
      </c>
      <c r="D222" s="45" t="s">
        <v>9</v>
      </c>
      <c r="E222" s="45" t="s">
        <v>30</v>
      </c>
      <c r="F222" s="52">
        <f t="shared" ref="F222:K222" si="194">F223+F224+F228+F229</f>
        <v>9287.1115116937308</v>
      </c>
      <c r="G222" s="52">
        <f t="shared" si="194"/>
        <v>10938.8789805753</v>
      </c>
      <c r="H222" s="52">
        <f t="shared" si="194"/>
        <v>13158.215593669574</v>
      </c>
      <c r="I222" s="52">
        <f t="shared" si="194"/>
        <v>17288.49783226315</v>
      </c>
      <c r="J222" s="52">
        <f t="shared" si="194"/>
        <v>23773.704340470926</v>
      </c>
      <c r="K222" s="52">
        <f t="shared" si="194"/>
        <v>24758.94018040003</v>
      </c>
      <c r="L222" s="52">
        <f t="shared" ref="L222:AB222" si="195">L223+L224+L228+L229</f>
        <v>24591.677935348172</v>
      </c>
      <c r="M222" s="52">
        <f t="shared" si="195"/>
        <v>25762.748805546151</v>
      </c>
      <c r="N222" s="52">
        <f t="shared" si="195"/>
        <v>26280.060573770934</v>
      </c>
      <c r="O222" s="52">
        <f t="shared" si="195"/>
        <v>27436.163046671878</v>
      </c>
      <c r="P222" s="52">
        <f t="shared" si="195"/>
        <v>30124.857735231297</v>
      </c>
      <c r="Q222" s="52">
        <f t="shared" si="195"/>
        <v>33047.948805290522</v>
      </c>
      <c r="R222" s="52">
        <f t="shared" si="195"/>
        <v>34746.51065824087</v>
      </c>
      <c r="S222" s="52">
        <f t="shared" si="195"/>
        <v>36049.294499951531</v>
      </c>
      <c r="T222" s="52">
        <f t="shared" si="195"/>
        <v>37576.845449467059</v>
      </c>
      <c r="U222" s="52">
        <f t="shared" si="195"/>
        <v>37731.589323692162</v>
      </c>
      <c r="V222" s="52">
        <f t="shared" si="195"/>
        <v>36858.322964360377</v>
      </c>
      <c r="W222" s="52">
        <f t="shared" si="195"/>
        <v>36610.916996228822</v>
      </c>
      <c r="X222" s="52">
        <f t="shared" si="195"/>
        <v>37213.554429688615</v>
      </c>
      <c r="Y222" s="52">
        <f t="shared" si="195"/>
        <v>38277.857385144394</v>
      </c>
      <c r="Z222" s="52">
        <f t="shared" si="195"/>
        <v>38441.684137014308</v>
      </c>
      <c r="AA222" s="52">
        <f t="shared" si="195"/>
        <v>39297.559037195293</v>
      </c>
      <c r="AB222" s="52">
        <f t="shared" si="195"/>
        <v>41575.685642717472</v>
      </c>
      <c r="AC222" s="52">
        <f t="shared" ref="AC222" si="196">AC223+AC224+AC228+AC229</f>
        <v>44954.957689602525</v>
      </c>
      <c r="AD222" s="52">
        <v>48271.612338642175</v>
      </c>
      <c r="AE222" s="52">
        <v>51386.515303597807</v>
      </c>
    </row>
    <row r="223" spans="1:31" x14ac:dyDescent="0.35">
      <c r="A223" s="57">
        <v>220</v>
      </c>
      <c r="D223" s="46" t="s">
        <v>10</v>
      </c>
      <c r="E223" s="46" t="s">
        <v>18</v>
      </c>
      <c r="F223" s="54">
        <v>0</v>
      </c>
      <c r="G223" s="54">
        <v>0</v>
      </c>
      <c r="H223" s="54">
        <v>0</v>
      </c>
      <c r="I223" s="54">
        <v>0</v>
      </c>
      <c r="J223" s="54">
        <v>0</v>
      </c>
      <c r="K223" s="54">
        <v>0</v>
      </c>
      <c r="L223" s="54">
        <v>0</v>
      </c>
      <c r="M223" s="54">
        <v>0</v>
      </c>
      <c r="N223" s="54">
        <v>0</v>
      </c>
      <c r="O223" s="54">
        <v>0</v>
      </c>
      <c r="P223" s="54">
        <v>0</v>
      </c>
      <c r="Q223" s="54">
        <v>0</v>
      </c>
      <c r="R223" s="54">
        <v>0</v>
      </c>
      <c r="S223" s="54">
        <v>0</v>
      </c>
      <c r="T223" s="54">
        <v>0</v>
      </c>
      <c r="U223" s="54">
        <v>0</v>
      </c>
      <c r="V223" s="54">
        <v>0</v>
      </c>
      <c r="W223" s="54">
        <v>0</v>
      </c>
      <c r="X223" s="54">
        <v>0</v>
      </c>
      <c r="Y223" s="54">
        <v>0</v>
      </c>
      <c r="Z223" s="54">
        <v>0</v>
      </c>
      <c r="AA223" s="54">
        <v>0</v>
      </c>
      <c r="AB223" s="54">
        <v>0</v>
      </c>
      <c r="AC223" s="54">
        <v>0</v>
      </c>
      <c r="AD223" s="54">
        <v>0</v>
      </c>
      <c r="AE223" s="54">
        <v>0</v>
      </c>
    </row>
    <row r="224" spans="1:31" x14ac:dyDescent="0.35">
      <c r="A224" s="57">
        <v>221</v>
      </c>
      <c r="D224" s="46" t="s">
        <v>11</v>
      </c>
      <c r="E224" s="46" t="s">
        <v>0</v>
      </c>
      <c r="F224" s="54">
        <f t="shared" ref="F224:K224" si="197">SUM(F225:F227)</f>
        <v>9287.1115116937308</v>
      </c>
      <c r="G224" s="54">
        <f t="shared" si="197"/>
        <v>10938.8789805753</v>
      </c>
      <c r="H224" s="54">
        <f t="shared" si="197"/>
        <v>13158.215593669574</v>
      </c>
      <c r="I224" s="54">
        <f t="shared" si="197"/>
        <v>17288.49783226315</v>
      </c>
      <c r="J224" s="54">
        <f t="shared" si="197"/>
        <v>23773.704340470926</v>
      </c>
      <c r="K224" s="54">
        <f t="shared" si="197"/>
        <v>24758.94018040003</v>
      </c>
      <c r="L224" s="54">
        <f t="shared" ref="L224:AB224" si="198">SUM(L225:L227)</f>
        <v>24591.677935348172</v>
      </c>
      <c r="M224" s="54">
        <f t="shared" si="198"/>
        <v>25762.748805546151</v>
      </c>
      <c r="N224" s="54">
        <f t="shared" si="198"/>
        <v>26280.060573770934</v>
      </c>
      <c r="O224" s="54">
        <f t="shared" si="198"/>
        <v>27436.163046671878</v>
      </c>
      <c r="P224" s="54">
        <f t="shared" si="198"/>
        <v>30124.857735231297</v>
      </c>
      <c r="Q224" s="54">
        <f t="shared" si="198"/>
        <v>33047.948805290522</v>
      </c>
      <c r="R224" s="54">
        <f t="shared" si="198"/>
        <v>34746.51065824087</v>
      </c>
      <c r="S224" s="54">
        <f t="shared" si="198"/>
        <v>36049.294499951531</v>
      </c>
      <c r="T224" s="54">
        <f t="shared" si="198"/>
        <v>37576.845449467059</v>
      </c>
      <c r="U224" s="54">
        <f t="shared" si="198"/>
        <v>37731.589323692162</v>
      </c>
      <c r="V224" s="54">
        <f t="shared" si="198"/>
        <v>36858.322964360377</v>
      </c>
      <c r="W224" s="54">
        <f t="shared" si="198"/>
        <v>36610.916996228822</v>
      </c>
      <c r="X224" s="54">
        <f t="shared" si="198"/>
        <v>37213.554429688615</v>
      </c>
      <c r="Y224" s="54">
        <f t="shared" si="198"/>
        <v>38277.857385144394</v>
      </c>
      <c r="Z224" s="54">
        <f t="shared" si="198"/>
        <v>38441.684137014308</v>
      </c>
      <c r="AA224" s="54">
        <f t="shared" si="198"/>
        <v>39297.559037195293</v>
      </c>
      <c r="AB224" s="54">
        <f t="shared" si="198"/>
        <v>41575.685642717472</v>
      </c>
      <c r="AC224" s="54">
        <f t="shared" ref="AC224" si="199">SUM(AC225:AC227)</f>
        <v>44954.957689602525</v>
      </c>
      <c r="AD224" s="54">
        <v>48271.612338642175</v>
      </c>
      <c r="AE224" s="54">
        <v>51386.515303597807</v>
      </c>
    </row>
    <row r="225" spans="1:61" x14ac:dyDescent="0.35">
      <c r="A225" s="57">
        <v>222</v>
      </c>
      <c r="D225" s="47" t="s">
        <v>21</v>
      </c>
      <c r="E225" s="47" t="s">
        <v>20</v>
      </c>
      <c r="F225" s="55">
        <v>7450.2757220037311</v>
      </c>
      <c r="G225" s="55">
        <v>7746.8344297853</v>
      </c>
      <c r="H225" s="55">
        <v>9031.7313024695741</v>
      </c>
      <c r="I225" s="55">
        <v>11479.185566593151</v>
      </c>
      <c r="J225" s="55">
        <v>15743.970495760926</v>
      </c>
      <c r="K225" s="55">
        <v>16383.217255500029</v>
      </c>
      <c r="L225" s="55">
        <v>16579.783202728173</v>
      </c>
      <c r="M225" s="55">
        <v>17549.056958726149</v>
      </c>
      <c r="N225" s="55">
        <v>18115.017671770933</v>
      </c>
      <c r="O225" s="55">
        <v>19096.934375671877</v>
      </c>
      <c r="P225" s="55">
        <v>21355.953872231297</v>
      </c>
      <c r="Q225" s="55">
        <v>23668.780144290522</v>
      </c>
      <c r="R225" s="55">
        <v>25085.760313240873</v>
      </c>
      <c r="S225" s="55">
        <v>26055.268881951532</v>
      </c>
      <c r="T225" s="55">
        <v>27015.239533467055</v>
      </c>
      <c r="U225" s="55">
        <v>26818.616680692161</v>
      </c>
      <c r="V225" s="55">
        <v>26140.545996360383</v>
      </c>
      <c r="W225" s="55">
        <v>25929.672340228823</v>
      </c>
      <c r="X225" s="55">
        <v>26622.884814688616</v>
      </c>
      <c r="Y225" s="55">
        <v>27775.311453934391</v>
      </c>
      <c r="Z225" s="55">
        <v>28288.515235014307</v>
      </c>
      <c r="AA225" s="55">
        <v>29400.556640195293</v>
      </c>
      <c r="AB225" s="55">
        <v>31566.219887717471</v>
      </c>
      <c r="AC225" s="55">
        <v>34288.190083602523</v>
      </c>
      <c r="AD225" s="55">
        <v>37366.274910642176</v>
      </c>
      <c r="AE225" s="55">
        <v>40326.754512597807</v>
      </c>
    </row>
    <row r="226" spans="1:61" x14ac:dyDescent="0.35">
      <c r="A226" s="57">
        <v>223</v>
      </c>
      <c r="D226" s="47" t="s">
        <v>12</v>
      </c>
      <c r="E226" s="47" t="s">
        <v>22</v>
      </c>
      <c r="F226" s="55">
        <v>1834.2035100000003</v>
      </c>
      <c r="G226" s="55">
        <v>3189.0233520000002</v>
      </c>
      <c r="H226" s="55">
        <v>4121.1851800000004</v>
      </c>
      <c r="I226" s="55">
        <v>5803.076059</v>
      </c>
      <c r="J226" s="55">
        <v>8025.7802497099992</v>
      </c>
      <c r="K226" s="55">
        <v>8375.6108839999997</v>
      </c>
      <c r="L226" s="55">
        <v>8011.8201319999998</v>
      </c>
      <c r="M226" s="55">
        <v>8213.5096840000006</v>
      </c>
      <c r="N226" s="55">
        <v>8164.9279020000004</v>
      </c>
      <c r="O226" s="55">
        <v>8339.1386710000006</v>
      </c>
      <c r="P226" s="55">
        <v>8768.8288630000006</v>
      </c>
      <c r="Q226" s="55">
        <v>9379.1086610000002</v>
      </c>
      <c r="R226" s="55">
        <v>9660.5553450000007</v>
      </c>
      <c r="S226" s="55">
        <v>9993.8643680000005</v>
      </c>
      <c r="T226" s="55">
        <v>10561.478416000002</v>
      </c>
      <c r="U226" s="55">
        <v>10912.878892999999</v>
      </c>
      <c r="V226" s="55">
        <v>10717.701967999999</v>
      </c>
      <c r="W226" s="55">
        <v>10681.244655999999</v>
      </c>
      <c r="X226" s="55">
        <v>10590.669614999999</v>
      </c>
      <c r="Y226" s="55">
        <v>10502.545931209999</v>
      </c>
      <c r="Z226" s="55">
        <v>10153.168901999999</v>
      </c>
      <c r="AA226" s="55">
        <v>9897.0023970000002</v>
      </c>
      <c r="AB226" s="55">
        <v>10009.465754999999</v>
      </c>
      <c r="AC226" s="55">
        <v>10666.767605999999</v>
      </c>
      <c r="AD226" s="55">
        <v>10905.337428000001</v>
      </c>
      <c r="AE226" s="55">
        <v>11059.760791000001</v>
      </c>
    </row>
    <row r="227" spans="1:61" x14ac:dyDescent="0.35">
      <c r="A227" s="57">
        <v>224</v>
      </c>
      <c r="D227" s="47" t="s">
        <v>31</v>
      </c>
      <c r="E227" s="47" t="s">
        <v>23</v>
      </c>
      <c r="F227" s="55">
        <v>2.6322796899999998</v>
      </c>
      <c r="G227" s="55">
        <v>3.0211987900000001</v>
      </c>
      <c r="H227" s="55">
        <v>5.2991112000000005</v>
      </c>
      <c r="I227" s="55">
        <v>6.2362066699999996</v>
      </c>
      <c r="J227" s="55">
        <v>3.953595</v>
      </c>
      <c r="K227" s="55">
        <v>0.1120409</v>
      </c>
      <c r="L227" s="55">
        <v>7.4600619999999992E-2</v>
      </c>
      <c r="M227" s="55">
        <v>0.18216282</v>
      </c>
      <c r="N227" s="55">
        <v>0.115</v>
      </c>
      <c r="O227" s="55">
        <v>0.09</v>
      </c>
      <c r="P227" s="55">
        <v>7.4999999999999997E-2</v>
      </c>
      <c r="Q227" s="55">
        <v>0.06</v>
      </c>
      <c r="R227" s="55">
        <v>0.19500000000000001</v>
      </c>
      <c r="S227" s="55">
        <v>0.16125</v>
      </c>
      <c r="T227" s="55">
        <v>0.1275</v>
      </c>
      <c r="U227" s="55">
        <v>9.375E-2</v>
      </c>
      <c r="V227" s="55">
        <v>7.4999999999999997E-2</v>
      </c>
      <c r="W227" s="55">
        <v>0</v>
      </c>
      <c r="X227" s="55">
        <v>0</v>
      </c>
      <c r="Y227" s="55">
        <v>0</v>
      </c>
      <c r="Z227" s="55">
        <v>0</v>
      </c>
      <c r="AA227" s="55">
        <v>0</v>
      </c>
      <c r="AB227" s="55">
        <v>0</v>
      </c>
      <c r="AC227" s="55">
        <v>0</v>
      </c>
      <c r="AD227" s="55">
        <v>0</v>
      </c>
      <c r="AE227" s="55">
        <v>0</v>
      </c>
    </row>
    <row r="228" spans="1:61" x14ac:dyDescent="0.35">
      <c r="A228" s="57">
        <v>225</v>
      </c>
      <c r="D228" s="46" t="s">
        <v>1</v>
      </c>
      <c r="E228" s="46" t="s">
        <v>24</v>
      </c>
      <c r="F228" s="54">
        <v>0</v>
      </c>
      <c r="G228" s="54">
        <v>0</v>
      </c>
      <c r="H228" s="54">
        <v>0</v>
      </c>
      <c r="I228" s="54">
        <v>0</v>
      </c>
      <c r="J228" s="54">
        <v>0</v>
      </c>
      <c r="K228" s="54">
        <v>0</v>
      </c>
      <c r="L228" s="54">
        <v>0</v>
      </c>
      <c r="M228" s="54">
        <v>0</v>
      </c>
      <c r="N228" s="54">
        <v>0</v>
      </c>
      <c r="O228" s="54">
        <v>0</v>
      </c>
      <c r="P228" s="54">
        <v>0</v>
      </c>
      <c r="Q228" s="54">
        <v>0</v>
      </c>
      <c r="R228" s="54">
        <v>0</v>
      </c>
      <c r="S228" s="54">
        <v>0</v>
      </c>
      <c r="T228" s="54">
        <v>0</v>
      </c>
      <c r="U228" s="54">
        <v>0</v>
      </c>
      <c r="V228" s="54">
        <v>0</v>
      </c>
      <c r="W228" s="54">
        <v>0</v>
      </c>
      <c r="X228" s="54">
        <v>0</v>
      </c>
      <c r="Y228" s="54">
        <v>0</v>
      </c>
      <c r="Z228" s="54">
        <v>0</v>
      </c>
      <c r="AA228" s="54">
        <v>0</v>
      </c>
      <c r="AB228" s="54">
        <v>0</v>
      </c>
      <c r="AC228" s="54">
        <v>0</v>
      </c>
      <c r="AD228" s="54">
        <v>0</v>
      </c>
      <c r="AE228" s="54">
        <v>0</v>
      </c>
    </row>
    <row r="229" spans="1:61" x14ac:dyDescent="0.35">
      <c r="A229" s="57">
        <v>226</v>
      </c>
      <c r="D229" s="46" t="s">
        <v>25</v>
      </c>
      <c r="E229" s="46" t="s">
        <v>26</v>
      </c>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row>
    <row r="230" spans="1:61" ht="15.5" x14ac:dyDescent="0.35">
      <c r="A230" s="57">
        <v>227</v>
      </c>
      <c r="D230" s="45" t="s">
        <v>15</v>
      </c>
      <c r="E230" s="45" t="s">
        <v>17</v>
      </c>
      <c r="F230" s="52">
        <v>641.27051050963382</v>
      </c>
      <c r="G230" s="52">
        <v>665.78906400913399</v>
      </c>
      <c r="H230" s="52">
        <v>603.98660879262695</v>
      </c>
      <c r="I230" s="52">
        <v>654.5158495440852</v>
      </c>
      <c r="J230" s="52">
        <v>829.15166692872322</v>
      </c>
      <c r="K230" s="52">
        <v>896.56022319701185</v>
      </c>
      <c r="L230" s="52">
        <v>883.09437700288049</v>
      </c>
      <c r="M230" s="52">
        <v>896.83676639063731</v>
      </c>
      <c r="N230" s="52">
        <v>939.92475526714043</v>
      </c>
      <c r="O230" s="52">
        <v>1014.2241373678963</v>
      </c>
      <c r="P230" s="52">
        <v>1047.4403159844248</v>
      </c>
      <c r="Q230" s="52">
        <v>1077.6091199736923</v>
      </c>
      <c r="R230" s="52">
        <v>1115.4711013735816</v>
      </c>
      <c r="S230" s="52">
        <v>1156.1371299999998</v>
      </c>
      <c r="T230" s="52">
        <v>1221.2965920000001</v>
      </c>
      <c r="U230" s="52">
        <v>1245.9634560000002</v>
      </c>
      <c r="V230" s="52">
        <v>1268.6361380000001</v>
      </c>
      <c r="W230" s="52">
        <v>1237.9741080000001</v>
      </c>
      <c r="X230" s="52">
        <v>1240.12159</v>
      </c>
      <c r="Y230" s="52">
        <v>1242.1985779999927</v>
      </c>
      <c r="Z230" s="52">
        <v>1239.8436259999999</v>
      </c>
      <c r="AA230" s="52">
        <v>1281.01974</v>
      </c>
      <c r="AB230" s="52">
        <v>1318.4765979999997</v>
      </c>
      <c r="AC230" s="52">
        <v>1301.1247499999999</v>
      </c>
      <c r="AD230" s="52">
        <v>1364.6815349999999</v>
      </c>
      <c r="AE230" s="52">
        <v>1400.249178</v>
      </c>
    </row>
    <row r="231" spans="1:61" ht="9" customHeight="1" x14ac:dyDescent="0.35">
      <c r="A231" s="57">
        <v>228</v>
      </c>
      <c r="D231" s="49"/>
      <c r="E231" s="49"/>
      <c r="F231" s="51">
        <v>0</v>
      </c>
      <c r="G231" s="51">
        <v>0</v>
      </c>
      <c r="H231" s="51">
        <v>0</v>
      </c>
      <c r="I231" s="51">
        <v>0</v>
      </c>
      <c r="J231" s="51">
        <v>0</v>
      </c>
      <c r="K231" s="51">
        <v>0</v>
      </c>
      <c r="L231" s="51">
        <v>0</v>
      </c>
      <c r="M231" s="51">
        <v>0</v>
      </c>
      <c r="N231" s="51">
        <v>0</v>
      </c>
      <c r="O231" s="51">
        <v>0</v>
      </c>
      <c r="P231" s="51">
        <v>0</v>
      </c>
      <c r="Q231" s="51">
        <v>0</v>
      </c>
      <c r="R231" s="51">
        <v>0</v>
      </c>
      <c r="S231" s="51">
        <v>0</v>
      </c>
      <c r="T231" s="51">
        <v>0</v>
      </c>
      <c r="U231" s="51">
        <v>0</v>
      </c>
      <c r="V231" s="51">
        <v>0</v>
      </c>
      <c r="W231" s="51">
        <v>0</v>
      </c>
      <c r="X231" s="51">
        <v>0</v>
      </c>
      <c r="Y231" s="51">
        <v>0</v>
      </c>
      <c r="Z231" s="51">
        <v>0</v>
      </c>
      <c r="AA231" s="51">
        <v>0</v>
      </c>
      <c r="AB231" s="51">
        <v>0</v>
      </c>
      <c r="AC231" s="51">
        <v>0</v>
      </c>
      <c r="AD231" s="51">
        <v>0</v>
      </c>
      <c r="AE231" s="51">
        <v>0</v>
      </c>
    </row>
    <row r="232" spans="1:61" s="43" customFormat="1" x14ac:dyDescent="0.35">
      <c r="A232" s="57"/>
      <c r="B232" s="35"/>
      <c r="C232" s="35"/>
      <c r="D232" s="35"/>
      <c r="E232" s="35"/>
      <c r="Y232" s="100"/>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c r="BE232" s="35"/>
      <c r="BF232" s="35"/>
      <c r="BG232" s="35"/>
      <c r="BH232" s="35"/>
      <c r="BI232" s="35"/>
    </row>
    <row r="233" spans="1:61" s="43" customFormat="1" x14ac:dyDescent="0.35">
      <c r="A233" s="57"/>
      <c r="B233" s="35"/>
      <c r="C233" s="35"/>
      <c r="D233" s="35"/>
      <c r="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row>
    <row r="234" spans="1:61" s="43" customFormat="1" hidden="1" x14ac:dyDescent="0.35">
      <c r="A234" s="57"/>
      <c r="B234" s="35"/>
      <c r="C234" s="35"/>
      <c r="D234" s="35"/>
      <c r="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c r="BF234" s="35"/>
      <c r="BG234" s="35"/>
      <c r="BH234" s="35"/>
      <c r="BI234" s="35"/>
    </row>
    <row r="235" spans="1:61" s="43" customFormat="1" hidden="1" x14ac:dyDescent="0.35">
      <c r="A235" s="57"/>
      <c r="B235" s="35"/>
      <c r="C235" s="35"/>
      <c r="D235" s="35"/>
      <c r="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c r="BE235" s="35"/>
      <c r="BF235" s="35"/>
      <c r="BG235" s="35"/>
      <c r="BH235" s="35"/>
      <c r="BI235" s="35"/>
    </row>
    <row r="236" spans="1:61" s="43" customFormat="1" hidden="1" x14ac:dyDescent="0.35">
      <c r="A236" s="57"/>
      <c r="B236" s="35"/>
      <c r="C236" s="35"/>
      <c r="D236" s="35"/>
      <c r="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c r="BE236" s="35"/>
      <c r="BF236" s="35"/>
      <c r="BG236" s="35"/>
      <c r="BH236" s="35"/>
      <c r="BI236" s="35"/>
    </row>
    <row r="237" spans="1:61" s="43" customFormat="1" hidden="1" x14ac:dyDescent="0.35">
      <c r="A237" s="57"/>
      <c r="B237" s="35"/>
      <c r="C237" s="35"/>
      <c r="D237" s="35"/>
      <c r="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c r="BE237" s="35"/>
      <c r="BF237" s="35"/>
      <c r="BG237" s="35"/>
      <c r="BH237" s="35"/>
      <c r="BI237" s="35"/>
    </row>
  </sheetData>
  <conditionalFormatting sqref="F16:AE16">
    <cfRule type="cellIs" dxfId="18" priority="74" operator="notEqual">
      <formula>0</formula>
    </cfRule>
  </conditionalFormatting>
  <conditionalFormatting sqref="F27:AE27">
    <cfRule type="cellIs" dxfId="17" priority="73" operator="notEqual">
      <formula>0</formula>
    </cfRule>
  </conditionalFormatting>
  <conditionalFormatting sqref="F38:AE38">
    <cfRule type="cellIs" dxfId="16" priority="72" operator="notEqual">
      <formula>0</formula>
    </cfRule>
  </conditionalFormatting>
  <conditionalFormatting sqref="F50:AE50">
    <cfRule type="cellIs" dxfId="15" priority="4" operator="notEqual">
      <formula>0</formula>
    </cfRule>
  </conditionalFormatting>
  <conditionalFormatting sqref="F61:AE61">
    <cfRule type="cellIs" dxfId="14" priority="3" operator="notEqual">
      <formula>0</formula>
    </cfRule>
  </conditionalFormatting>
  <conditionalFormatting sqref="F72:AE72">
    <cfRule type="cellIs" dxfId="13" priority="2" operator="notEqual">
      <formula>0</formula>
    </cfRule>
  </conditionalFormatting>
  <conditionalFormatting sqref="F83:AE83">
    <cfRule type="cellIs" dxfId="12" priority="1" operator="notEqual">
      <formula>0</formula>
    </cfRule>
  </conditionalFormatting>
  <conditionalFormatting sqref="F95:AE95">
    <cfRule type="cellIs" dxfId="11" priority="64" operator="notEqual">
      <formula>0</formula>
    </cfRule>
  </conditionalFormatting>
  <conditionalFormatting sqref="F106:AE106">
    <cfRule type="cellIs" dxfId="10" priority="63" operator="notEqual">
      <formula>0</formula>
    </cfRule>
  </conditionalFormatting>
  <conditionalFormatting sqref="F117:AE117">
    <cfRule type="cellIs" dxfId="9" priority="62" operator="notEqual">
      <formula>0</formula>
    </cfRule>
  </conditionalFormatting>
  <conditionalFormatting sqref="F128:AE128 F162:AE162">
    <cfRule type="cellIs" dxfId="8" priority="68" operator="notEqual">
      <formula>0</formula>
    </cfRule>
  </conditionalFormatting>
  <conditionalFormatting sqref="F140:AE140">
    <cfRule type="cellIs" dxfId="7" priority="61" operator="notEqual">
      <formula>0</formula>
    </cfRule>
  </conditionalFormatting>
  <conditionalFormatting sqref="F151:AE151">
    <cfRule type="cellIs" dxfId="6" priority="60" operator="notEqual">
      <formula>0</formula>
    </cfRule>
  </conditionalFormatting>
  <conditionalFormatting sqref="F174:AE174">
    <cfRule type="cellIs" dxfId="5" priority="59" operator="notEqual">
      <formula>0</formula>
    </cfRule>
  </conditionalFormatting>
  <conditionalFormatting sqref="F185:AE185">
    <cfRule type="cellIs" dxfId="4" priority="58" operator="notEqual">
      <formula>0</formula>
    </cfRule>
  </conditionalFormatting>
  <conditionalFormatting sqref="F196:AE196">
    <cfRule type="cellIs" dxfId="3" priority="53" operator="notEqual">
      <formula>0</formula>
    </cfRule>
  </conditionalFormatting>
  <conditionalFormatting sqref="F208:AE208">
    <cfRule type="cellIs" dxfId="2" priority="67" operator="notEqual">
      <formula>0</formula>
    </cfRule>
  </conditionalFormatting>
  <conditionalFormatting sqref="F219:AE219">
    <cfRule type="cellIs" dxfId="1" priority="66" operator="notEqual">
      <formula>0</formula>
    </cfRule>
  </conditionalFormatting>
  <conditionalFormatting sqref="F231:AE231">
    <cfRule type="cellIs" dxfId="0" priority="65" operator="notEqual">
      <formula>0</formula>
    </cfRule>
  </conditionalFormatting>
  <pageMargins left="0.7" right="0.7" top="0.75" bottom="0.75" header="0.3" footer="0.3"/>
  <pageSetup paperSize="8" scale="74"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6067-A38F-40B1-B129-3DD8A8756D79}">
  <sheetPr codeName="Sheet6"/>
  <dimension ref="A1:A27"/>
  <sheetViews>
    <sheetView showGridLines="0" workbookViewId="0">
      <selection activeCell="A27" sqref="A27"/>
    </sheetView>
  </sheetViews>
  <sheetFormatPr defaultRowHeight="14.5" x14ac:dyDescent="0.35"/>
  <cols>
    <col min="1" max="1" customWidth="true" width="15.26953125" collapsed="false"/>
  </cols>
  <sheetData>
    <row r="1" spans="1:1" x14ac:dyDescent="0.35">
      <c r="A1" t="s">
        <v>34</v>
      </c>
    </row>
    <row r="2" spans="1:1" x14ac:dyDescent="0.35">
      <c r="A2" s="93">
        <v>42369</v>
      </c>
    </row>
    <row r="3" spans="1:1" x14ac:dyDescent="0.35">
      <c r="A3" s="93">
        <v>42735</v>
      </c>
    </row>
    <row r="4" spans="1:1" x14ac:dyDescent="0.35">
      <c r="A4" s="93">
        <v>43100</v>
      </c>
    </row>
    <row r="5" spans="1:1" x14ac:dyDescent="0.35">
      <c r="A5" s="93">
        <v>43465</v>
      </c>
    </row>
    <row r="6" spans="1:1" x14ac:dyDescent="0.35">
      <c r="A6" s="93">
        <v>43830</v>
      </c>
    </row>
    <row r="7" spans="1:1" x14ac:dyDescent="0.35">
      <c r="A7" s="93">
        <v>43921</v>
      </c>
    </row>
    <row r="8" spans="1:1" x14ac:dyDescent="0.35">
      <c r="A8" s="93">
        <v>44012</v>
      </c>
    </row>
    <row r="9" spans="1:1" x14ac:dyDescent="0.35">
      <c r="A9" s="93">
        <v>44104</v>
      </c>
    </row>
    <row r="10" spans="1:1" x14ac:dyDescent="0.35">
      <c r="A10" s="93">
        <v>44196</v>
      </c>
    </row>
    <row r="11" spans="1:1" x14ac:dyDescent="0.35">
      <c r="A11" s="93">
        <v>44286</v>
      </c>
    </row>
    <row r="12" spans="1:1" x14ac:dyDescent="0.35">
      <c r="A12" s="93">
        <v>44377</v>
      </c>
    </row>
    <row r="13" spans="1:1" x14ac:dyDescent="0.35">
      <c r="A13" s="93">
        <v>44469</v>
      </c>
    </row>
    <row r="14" spans="1:1" x14ac:dyDescent="0.35">
      <c r="A14" s="93">
        <v>44561</v>
      </c>
    </row>
    <row r="15" spans="1:1" x14ac:dyDescent="0.35">
      <c r="A15" s="93">
        <v>44651</v>
      </c>
    </row>
    <row r="16" spans="1:1" x14ac:dyDescent="0.35">
      <c r="A16" s="93">
        <v>44742</v>
      </c>
    </row>
    <row r="17" spans="1:1" x14ac:dyDescent="0.35">
      <c r="A17" s="93">
        <v>44834</v>
      </c>
    </row>
    <row r="18" spans="1:1" x14ac:dyDescent="0.35">
      <c r="A18" s="93">
        <v>44926</v>
      </c>
    </row>
    <row r="19" spans="1:1" x14ac:dyDescent="0.35">
      <c r="A19" s="93">
        <v>45016</v>
      </c>
    </row>
    <row r="20" spans="1:1" x14ac:dyDescent="0.35">
      <c r="A20" s="93">
        <v>45107</v>
      </c>
    </row>
    <row r="21" spans="1:1" x14ac:dyDescent="0.35">
      <c r="A21" s="93">
        <v>45199</v>
      </c>
    </row>
    <row r="22" spans="1:1" x14ac:dyDescent="0.35">
      <c r="A22" s="93">
        <v>45291</v>
      </c>
    </row>
    <row r="23" spans="1:1" x14ac:dyDescent="0.35">
      <c r="A23" s="93">
        <v>45382</v>
      </c>
    </row>
    <row r="24" spans="1:1" x14ac:dyDescent="0.35">
      <c r="A24" s="93">
        <v>45473</v>
      </c>
    </row>
    <row r="25" spans="1:1" x14ac:dyDescent="0.35">
      <c r="A25" s="93">
        <v>45565</v>
      </c>
    </row>
    <row r="26" spans="1:1" x14ac:dyDescent="0.35">
      <c r="A26" s="93">
        <v>45657</v>
      </c>
    </row>
    <row r="27" spans="1:1" x14ac:dyDescent="0.35">
      <c r="A27" s="101" t="s">
        <v>57</v>
      </c>
    </row>
  </sheetData>
  <phoneticPr fontId="47" type="noConversion"/>
  <pageMargins left="0.7" right="0.7" top="0.75" bottom="0.75" header="0.3" footer="0.3"/>
  <tableParts count="1">
    <tablePart r:id="rId1"/>
  </tablePart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14093617-ae47-4fd8-a85a-588ced94f3f6</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3CC4562E-9E1F-43A6-9F81-CA9CE6FA742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Coperta</vt:lpstr>
      <vt:lpstr>nota explicativă</vt:lpstr>
      <vt:lpstr>matricele</vt:lpstr>
      <vt:lpstr>seriile dinamice active</vt:lpstr>
      <vt:lpstr>seriile dinamice pasive </vt:lpstr>
      <vt:lpstr>index list</vt:lpstr>
    </vt:vector>
  </TitlesOfParts>
  <Company>Banca Nationala a Moldovei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2024-11-28T20:57:59Z</dcterms:created>
  <cp:lastPrinted>2024-12-13T14:14:48Z</cp:lastPrinted>
  <dcterms:modified xsi:type="dcterms:W3CDTF">2025-08-12T10:59:29Z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14093617-ae47-4fd8-a85a-588ced94f3f6</vt:lpwstr>
  </property>
  <property fmtid="{D5CDD505-2E9C-101B-9397-08002B2CF9AE}" pid="3" name="Clasificare">
    <vt:lpwstr>NONE</vt:lpwstr>
  </property>
  <property fmtid="{D5CDD505-2E9C-101B-9397-08002B2CF9AE}" pid="4" name="MSIP_Label_38962dcf-d39f-4edc-a396-338a56ba9170_Enabled">
    <vt:lpwstr>true</vt:lpwstr>
  </property>
  <property fmtid="{D5CDD505-2E9C-101B-9397-08002B2CF9AE}" pid="5" name="MSIP_Label_38962dcf-d39f-4edc-a396-338a56ba9170_SetDate">
    <vt:lpwstr>2024-11-28T21:08:27Z</vt:lpwstr>
  </property>
  <property fmtid="{D5CDD505-2E9C-101B-9397-08002B2CF9AE}" pid="6" name="MSIP_Label_38962dcf-d39f-4edc-a396-338a56ba9170_Method">
    <vt:lpwstr>Privileged</vt:lpwstr>
  </property>
  <property fmtid="{D5CDD505-2E9C-101B-9397-08002B2CF9AE}" pid="7" name="MSIP_Label_38962dcf-d39f-4edc-a396-338a56ba9170_Name">
    <vt:lpwstr>NONE</vt:lpwstr>
  </property>
  <property fmtid="{D5CDD505-2E9C-101B-9397-08002B2CF9AE}" pid="8" name="MSIP_Label_38962dcf-d39f-4edc-a396-338a56ba9170_SiteId">
    <vt:lpwstr>5887d430-0034-4561-b771-12c77faf2fa0</vt:lpwstr>
  </property>
  <property fmtid="{D5CDD505-2E9C-101B-9397-08002B2CF9AE}" pid="9" name="MSIP_Label_38962dcf-d39f-4edc-a396-338a56ba9170_ActionId">
    <vt:lpwstr>96e4c4b6-5a58-432c-80b5-7ff13c676722</vt:lpwstr>
  </property>
  <property fmtid="{D5CDD505-2E9C-101B-9397-08002B2CF9AE}" pid="10" name="MSIP_Label_38962dcf-d39f-4edc-a396-338a56ba9170_ContentBits">
    <vt:lpwstr>0</vt:lpwstr>
  </property>
</Properties>
</file>